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.9\гз\2022 год\ТОРГИ\ОТБОРЫ\Отбор 11 Донское Перевальное 1 этап\"/>
    </mc:Choice>
  </mc:AlternateContent>
  <bookViews>
    <workbookView xWindow="0" yWindow="0" windowWidth="38400" windowHeight="12330"/>
  </bookViews>
  <sheets>
    <sheet name="контрактная (ЮВОС)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T" localSheetId="0">#REF!</definedName>
    <definedName name="\T">#REF!</definedName>
    <definedName name="\Z" localSheetId="0">#REF!</definedName>
    <definedName name="\Z">#REF!</definedName>
    <definedName name="_1.2" localSheetId="0">#REF!</definedName>
    <definedName name="_1.2">#REF!</definedName>
    <definedName name="_1.3" localSheetId="0">#REF!</definedName>
    <definedName name="_1.3">#REF!</definedName>
    <definedName name="_1.35" localSheetId="0">#REF!</definedName>
    <definedName name="_1.35">#REF!</definedName>
    <definedName name="_xlnm._FilterDatabase" localSheetId="0" hidden="1">'контрактная (ЮВОС)'!$N$1:$N$1107</definedName>
    <definedName name="_xlnm._FilterDatabase" hidden="1">#REF!</definedName>
    <definedName name="aaa" localSheetId="0">#REF!</definedName>
    <definedName name="aaa">#REF!</definedName>
    <definedName name="CCC" localSheetId="0">#REF!</definedName>
    <definedName name="CCC">#REF!</definedName>
    <definedName name="ddd" localSheetId="0">#REF!</definedName>
    <definedName name="ddd">#REF!</definedName>
    <definedName name="F4_LocSmeta" localSheetId="0">#REF!</definedName>
    <definedName name="F4_LocSmeta">#REF!</definedName>
    <definedName name="F4_ObjSmeta" localSheetId="0">#REF!</definedName>
    <definedName name="F4_ObjSmeta">#REF!</definedName>
    <definedName name="F4_OrgUpr" localSheetId="0">#REF!</definedName>
    <definedName name="F4_OrgUpr">#REF!</definedName>
    <definedName name="F4_Proveril" localSheetId="0">#REF!</definedName>
    <definedName name="F4_Proveril">#REF!</definedName>
    <definedName name="F4_Shifr" localSheetId="0">#REF!</definedName>
    <definedName name="F4_Shifr">#REF!</definedName>
    <definedName name="F4_Sostavil" localSheetId="0">#REF!</definedName>
    <definedName name="F4_Sostavil">#REF!</definedName>
    <definedName name="F4_Titul" localSheetId="0">#REF!</definedName>
    <definedName name="F4_Titul">#REF!</definedName>
    <definedName name="F5_LocSmeta" localSheetId="0">#REF!</definedName>
    <definedName name="F5_LocSmeta">#REF!</definedName>
    <definedName name="F5_ObjSmeta" localSheetId="0">#REF!</definedName>
    <definedName name="F5_ObjSmeta">#REF!</definedName>
    <definedName name="F5_OrgUpr" localSheetId="0">#REF!</definedName>
    <definedName name="F5_OrgUpr">#REF!</definedName>
    <definedName name="F5_Proveril" localSheetId="0">#REF!</definedName>
    <definedName name="F5_Proveril">#REF!</definedName>
    <definedName name="F5_Shifr" localSheetId="0">#REF!</definedName>
    <definedName name="F5_Shifr">#REF!</definedName>
    <definedName name="F5_Sostavil" localSheetId="0">#REF!</definedName>
    <definedName name="F5_Sostavil">#REF!</definedName>
    <definedName name="F5_Titul" localSheetId="0">#REF!</definedName>
    <definedName name="F5_Titul">#REF!</definedName>
    <definedName name="F5_ZMH_1CHCH" localSheetId="0">#REF!</definedName>
    <definedName name="F5_ZMH_1CHCH">#REF!</definedName>
    <definedName name="F5_ZMH_BAZ" localSheetId="0">#REF!</definedName>
    <definedName name="F5_ZMH_BAZ">#REF!</definedName>
    <definedName name="F5_ZMH_CHCH" localSheetId="0">#REF!</definedName>
    <definedName name="F5_ZMH_CHCH">#REF!</definedName>
    <definedName name="F5_ZMH_TEK" localSheetId="0">#REF!</definedName>
    <definedName name="F5_ZMH_TEK">#REF!</definedName>
    <definedName name="F5_ZOR_1CHCH" localSheetId="0">#REF!</definedName>
    <definedName name="F5_ZOR_1CHCH">#REF!</definedName>
    <definedName name="F5_ZOR_BAZ" localSheetId="0">#REF!</definedName>
    <definedName name="F5_ZOR_BAZ">#REF!</definedName>
    <definedName name="F5_ZOR_CHCH" localSheetId="0">#REF!</definedName>
    <definedName name="F5_ZOR_CHCH">#REF!</definedName>
    <definedName name="F5_ZOR_TEK" localSheetId="0">#REF!</definedName>
    <definedName name="F5_ZOR_TEK">#REF!</definedName>
    <definedName name="F6_CopyStr" localSheetId="0">#REF!</definedName>
    <definedName name="F6_CopyStr">#REF!</definedName>
    <definedName name="F6_LocSmeta" localSheetId="0">#REF!</definedName>
    <definedName name="F6_LocSmeta">#REF!</definedName>
    <definedName name="F6_ObjSmeta" localSheetId="0">#REF!</definedName>
    <definedName name="F6_ObjSmeta">#REF!</definedName>
    <definedName name="F6_OrgUpr" localSheetId="0">#REF!</definedName>
    <definedName name="F6_OrgUpr">#REF!</definedName>
    <definedName name="F6_PROCH_BAZ" localSheetId="0">#REF!</definedName>
    <definedName name="F6_PROCH_BAZ">#REF!</definedName>
    <definedName name="F6_PROCH_TEK" localSheetId="0">#REF!</definedName>
    <definedName name="F6_PROCH_TEK">#REF!</definedName>
    <definedName name="F6_Proveril" localSheetId="0">#REF!</definedName>
    <definedName name="F6_Proveril">#REF!</definedName>
    <definedName name="F6_Shifr" localSheetId="0">#REF!</definedName>
    <definedName name="F6_Shifr">#REF!</definedName>
    <definedName name="F6_Sostavil" localSheetId="0">#REF!</definedName>
    <definedName name="F6_Sostavil">#REF!</definedName>
    <definedName name="F6_Titul" localSheetId="0">#REF!</definedName>
    <definedName name="F6_Titul">#REF!</definedName>
    <definedName name="F7_CopyStr" localSheetId="0">#REF!</definedName>
    <definedName name="F7_CopyStr">#REF!</definedName>
    <definedName name="F7_LocSmeta" localSheetId="0">#REF!</definedName>
    <definedName name="F7_LocSmeta">#REF!</definedName>
    <definedName name="F7_ObjSmeta" localSheetId="0">#REF!</definedName>
    <definedName name="F7_ObjSmeta">#REF!</definedName>
    <definedName name="F7_OrgUpr" localSheetId="0">#REF!</definedName>
    <definedName name="F7_OrgUpr">#REF!</definedName>
    <definedName name="F7_PROCH_BAZ" localSheetId="0">#REF!</definedName>
    <definedName name="F7_PROCH_BAZ">#REF!</definedName>
    <definedName name="F7_PROCH_TEK" localSheetId="0">#REF!</definedName>
    <definedName name="F7_PROCH_TEK">#REF!</definedName>
    <definedName name="F7_Proveril" localSheetId="0">#REF!</definedName>
    <definedName name="F7_Proveril">#REF!</definedName>
    <definedName name="F7_Shifr" localSheetId="0">#REF!</definedName>
    <definedName name="F7_Shifr">#REF!</definedName>
    <definedName name="F7_Sostavil" localSheetId="0">#REF!</definedName>
    <definedName name="F7_Sostavil">#REF!</definedName>
    <definedName name="F7_Titul" localSheetId="0">#REF!</definedName>
    <definedName name="F7_Titul">#REF!</definedName>
    <definedName name="fkg" localSheetId="0">#REF!</definedName>
    <definedName name="fkg">#REF!</definedName>
    <definedName name="FromFZA_BAZ" localSheetId="0">#REF!</definedName>
    <definedName name="FromFZA_BAZ">#REF!</definedName>
    <definedName name="FromFZA_TEK" localSheetId="0">#REF!</definedName>
    <definedName name="FromFZA_TEK">#REF!</definedName>
    <definedName name="FZA_CopyStr" localSheetId="0">#REF!</definedName>
    <definedName name="FZA_CopyStr">#REF!</definedName>
    <definedName name="gd" localSheetId="0">#REF!</definedName>
    <definedName name="gd">#REF!</definedName>
    <definedName name="kmk" localSheetId="0">#REF!</definedName>
    <definedName name="kmk">#REF!</definedName>
    <definedName name="O" localSheetId="0">#REF!</definedName>
    <definedName name="O">#REF!</definedName>
    <definedName name="oiuiy" localSheetId="0">#REF!</definedName>
    <definedName name="oiuiy">#REF!</definedName>
    <definedName name="WW" localSheetId="0">#REF!</definedName>
    <definedName name="WW">#REF!</definedName>
    <definedName name="YPRAV" localSheetId="0">#REF!</definedName>
    <definedName name="YPRAV">#REF!</definedName>
    <definedName name="а" localSheetId="0">#REF!</definedName>
    <definedName name="а">#REF!</definedName>
    <definedName name="А25" localSheetId="0">#REF!</definedName>
    <definedName name="А25">#REF!</definedName>
    <definedName name="АКСТ">'[1]Лист опроса'!$B$24</definedName>
    <definedName name="АОСпроц" localSheetId="0">#REF!</definedName>
    <definedName name="АОСпроц">#REF!</definedName>
    <definedName name="апп" localSheetId="0">#REF!</definedName>
    <definedName name="апп">#REF!</definedName>
    <definedName name="аппир" localSheetId="0">#REF!</definedName>
    <definedName name="аппир">#REF!</definedName>
    <definedName name="ббб" localSheetId="0">#REF!</definedName>
    <definedName name="ббб">#REF!</definedName>
    <definedName name="Всего_по_смете" localSheetId="0">#REF!</definedName>
    <definedName name="Всего_по_смете">#REF!</definedName>
    <definedName name="Вспомогательные_работы" localSheetId="0">#REF!</definedName>
    <definedName name="Вспомогательные_работы">#REF!</definedName>
    <definedName name="геодезия" localSheetId="0">#REF!</definedName>
    <definedName name="геодезия">#REF!</definedName>
    <definedName name="геология" localSheetId="0">#REF!</definedName>
    <definedName name="геология">#REF!</definedName>
    <definedName name="геофизика" localSheetId="0">#REF!</definedName>
    <definedName name="геофизика">#REF!</definedName>
    <definedName name="д" localSheetId="0">#REF!</definedName>
    <definedName name="д">#REF!</definedName>
    <definedName name="длавпр" localSheetId="0">#REF!</definedName>
    <definedName name="длавпр">#REF!</definedName>
    <definedName name="дор" localSheetId="0">#REF!</definedName>
    <definedName name="дор">#REF!</definedName>
    <definedName name="Е4" localSheetId="0">#REF!</definedName>
    <definedName name="Е4">#REF!</definedName>
    <definedName name="енгг" localSheetId="0">#REF!</definedName>
    <definedName name="енгг">#REF!</definedName>
    <definedName name="ждоп" localSheetId="0">#REF!</definedName>
    <definedName name="ждоп">#REF!</definedName>
    <definedName name="Зависимые" localSheetId="0">#REF!</definedName>
    <definedName name="Зависимые">#REF!</definedName>
    <definedName name="изыс">[2]Индексы!$K$4</definedName>
    <definedName name="изыск">[3]Индексы!$J$3</definedName>
    <definedName name="имясм1" localSheetId="0">#REF!</definedName>
    <definedName name="имясм1">#REF!</definedName>
    <definedName name="имясм10" localSheetId="0">#REF!</definedName>
    <definedName name="имясм10">#REF!</definedName>
    <definedName name="имясм11" localSheetId="0">#REF!</definedName>
    <definedName name="имясм11">#REF!</definedName>
    <definedName name="имясм12" localSheetId="0">#REF!</definedName>
    <definedName name="имясм12">#REF!</definedName>
    <definedName name="имясм13" localSheetId="0">#REF!</definedName>
    <definedName name="имясм13">#REF!</definedName>
    <definedName name="имясм14" localSheetId="0">#REF!</definedName>
    <definedName name="имясм14">#REF!</definedName>
    <definedName name="имясм15" localSheetId="0">#REF!</definedName>
    <definedName name="имясм15">#REF!</definedName>
    <definedName name="имясм16" localSheetId="0">#REF!</definedName>
    <definedName name="имясм16">#REF!</definedName>
    <definedName name="имясм17" localSheetId="0">#REF!</definedName>
    <definedName name="имясм17">#REF!</definedName>
    <definedName name="имясм18" localSheetId="0">#REF!</definedName>
    <definedName name="имясм18">#REF!</definedName>
    <definedName name="имясм19" localSheetId="0">#REF!</definedName>
    <definedName name="имясм19">#REF!</definedName>
    <definedName name="имясм2" localSheetId="0">#REF!</definedName>
    <definedName name="имясм2">#REF!</definedName>
    <definedName name="имясм20" localSheetId="0">#REF!</definedName>
    <definedName name="имясм20">#REF!</definedName>
    <definedName name="имясм21" localSheetId="0">#REF!</definedName>
    <definedName name="имясм21">#REF!</definedName>
    <definedName name="имясм22" localSheetId="0">#REF!</definedName>
    <definedName name="имясм22">#REF!</definedName>
    <definedName name="имясм23" localSheetId="0">#REF!</definedName>
    <definedName name="имясм23">#REF!</definedName>
    <definedName name="имясм24" localSheetId="0">#REF!</definedName>
    <definedName name="имясм24">#REF!</definedName>
    <definedName name="имясм25" localSheetId="0">#REF!</definedName>
    <definedName name="имясм25">#REF!</definedName>
    <definedName name="имясм26" localSheetId="0">#REF!</definedName>
    <definedName name="имясм26">#REF!</definedName>
    <definedName name="имясм27" localSheetId="0">#REF!</definedName>
    <definedName name="имясм27">#REF!</definedName>
    <definedName name="имясм28" localSheetId="0">#REF!</definedName>
    <definedName name="имясм28">#REF!</definedName>
    <definedName name="имясм29" localSheetId="0">#REF!</definedName>
    <definedName name="имясм29">#REF!</definedName>
    <definedName name="имясм3" localSheetId="0">#REF!</definedName>
    <definedName name="имясм3">#REF!</definedName>
    <definedName name="имясм30" localSheetId="0">#REF!</definedName>
    <definedName name="имясм30">#REF!</definedName>
    <definedName name="имясм31" localSheetId="0">#REF!</definedName>
    <definedName name="имясм31">#REF!</definedName>
    <definedName name="имясм32" localSheetId="0">#REF!</definedName>
    <definedName name="имясм32">#REF!</definedName>
    <definedName name="имясм33" localSheetId="0">#REF!</definedName>
    <definedName name="имясм33">#REF!</definedName>
    <definedName name="имясм34" localSheetId="0">#REF!</definedName>
    <definedName name="имясм34">#REF!</definedName>
    <definedName name="имясм35" localSheetId="0">#REF!</definedName>
    <definedName name="имясм35">#REF!</definedName>
    <definedName name="имясм36" localSheetId="0">#REF!</definedName>
    <definedName name="имясм36">#REF!</definedName>
    <definedName name="имясм37" localSheetId="0">#REF!</definedName>
    <definedName name="имясм37">#REF!</definedName>
    <definedName name="имясм38" localSheetId="0">#REF!</definedName>
    <definedName name="имясм38">#REF!</definedName>
    <definedName name="имясм39" localSheetId="0">#REF!</definedName>
    <definedName name="имясм39">#REF!</definedName>
    <definedName name="имясм4" localSheetId="0">#REF!</definedName>
    <definedName name="имясм4">#REF!</definedName>
    <definedName name="имясм40" localSheetId="0">#REF!</definedName>
    <definedName name="имясм40">#REF!</definedName>
    <definedName name="имясм41" localSheetId="0">#REF!</definedName>
    <definedName name="имясм41">#REF!</definedName>
    <definedName name="имясм5" localSheetId="0">#REF!</definedName>
    <definedName name="имясм5">#REF!</definedName>
    <definedName name="имясм6" localSheetId="0">#REF!</definedName>
    <definedName name="имясм6">#REF!</definedName>
    <definedName name="имясм7" localSheetId="0">#REF!</definedName>
    <definedName name="имясм7">#REF!</definedName>
    <definedName name="имясм8" localSheetId="0">#REF!</definedName>
    <definedName name="имясм8">#REF!</definedName>
    <definedName name="имясм9" localSheetId="0">#REF!</definedName>
    <definedName name="имясм9">#REF!</definedName>
    <definedName name="индее" localSheetId="0">#REF!</definedName>
    <definedName name="индее">#REF!</definedName>
    <definedName name="Итого_по_разделу_V" localSheetId="0">#REF!</definedName>
    <definedName name="Итого_по_разделу_V">#REF!</definedName>
    <definedName name="Итого_по_смете" localSheetId="0">#REF!</definedName>
    <definedName name="Итого_по_смете">#REF!</definedName>
    <definedName name="к1" localSheetId="0">#REF!</definedName>
    <definedName name="к1">#REF!</definedName>
    <definedName name="к2" localSheetId="0">#REF!</definedName>
    <definedName name="к2">#REF!</definedName>
    <definedName name="КаА1" localSheetId="0">#REF!</definedName>
    <definedName name="КаА1">#REF!</definedName>
    <definedName name="КАапк" localSheetId="0">#REF!</definedName>
    <definedName name="КАапк">#REF!</definedName>
    <definedName name="КАапк2" localSheetId="0">#REF!</definedName>
    <definedName name="КАапк2">#REF!</definedName>
    <definedName name="КАдц" localSheetId="0">#REF!</definedName>
    <definedName name="КАдц">#REF!</definedName>
    <definedName name="КАдц2" localSheetId="0">#REF!</definedName>
    <definedName name="КАдц2">#REF!</definedName>
    <definedName name="Камеральных" localSheetId="0">#REF!</definedName>
    <definedName name="Камеральных">#REF!</definedName>
    <definedName name="КбА1" localSheetId="0">#REF!</definedName>
    <definedName name="КбА1">#REF!</definedName>
    <definedName name="КВапк" localSheetId="0">#REF!</definedName>
    <definedName name="КВапк">#REF!</definedName>
    <definedName name="КВапк2" localSheetId="0">#REF!</definedName>
    <definedName name="КВапк2">#REF!</definedName>
    <definedName name="КВдц" localSheetId="0">#REF!</definedName>
    <definedName name="КВдц">#REF!</definedName>
    <definedName name="КВдц2" localSheetId="0">#REF!</definedName>
    <definedName name="КВдц2">#REF!</definedName>
    <definedName name="Клим">[2]Структура_тек!$H$4</definedName>
    <definedName name="КобрА1" localSheetId="0">#REF!</definedName>
    <definedName name="КобрА1">#REF!</definedName>
    <definedName name="КобрАОС" localSheetId="0">#REF!</definedName>
    <definedName name="КобрАОС">#REF!</definedName>
    <definedName name="КобрАПК">[1]Дог_рас!$E$44</definedName>
    <definedName name="КобрАПК2" localSheetId="0">#REF!</definedName>
    <definedName name="КобрАПК2">#REF!</definedName>
    <definedName name="КобрДСапк">[1]Дог_рас!$E$109</definedName>
    <definedName name="КобрДСапк2" localSheetId="0">#REF!</definedName>
    <definedName name="КобрДСапк2">#REF!</definedName>
    <definedName name="КобрДСдц">[1]Дог_рас!$E$63</definedName>
    <definedName name="КобрДСдц2" localSheetId="0">#REF!</definedName>
    <definedName name="КобрДСдц2">#REF!</definedName>
    <definedName name="КобрДЦ">[1]Дог_рас!$E$22</definedName>
    <definedName name="КобрДЦ2" localSheetId="0">#REF!</definedName>
    <definedName name="КобрДЦ2">#REF!</definedName>
    <definedName name="КобрКор" localSheetId="0">#REF!</definedName>
    <definedName name="КобрКор">#REF!</definedName>
    <definedName name="КобрКор2" localSheetId="0">#REF!</definedName>
    <definedName name="КобрКор2">#REF!</definedName>
    <definedName name="КобрПАБ" localSheetId="0">#REF!</definedName>
    <definedName name="КобрПАБ">#REF!</definedName>
    <definedName name="КобрПЕРЕ" localSheetId="0">#REF!</definedName>
    <definedName name="КобрПЕРЕ">#REF!</definedName>
    <definedName name="КобрПУ">[1]Дог_рас!$I$22</definedName>
    <definedName name="КобрПУ2" localSheetId="0">#REF!</definedName>
    <definedName name="КобрПУ2">#REF!</definedName>
    <definedName name="КобрСАПЖ" localSheetId="0">#REF!</definedName>
    <definedName name="КобрСАПЖ">#REF!</definedName>
    <definedName name="КобрСПрисп" localSheetId="0">#REF!</definedName>
    <definedName name="КобрСПрисп">#REF!</definedName>
    <definedName name="КобрЭ" localSheetId="0">#REF!</definedName>
    <definedName name="КобрЭ">#REF!</definedName>
    <definedName name="КобрЭприс" localSheetId="0">#REF!</definedName>
    <definedName name="КобрЭприс">#REF!</definedName>
    <definedName name="КобрЭЦдо" localSheetId="0">#REF!</definedName>
    <definedName name="КобрЭЦдо">#REF!</definedName>
    <definedName name="КобрЭЦсв" localSheetId="0">#REF!</definedName>
    <definedName name="КобрЭЦсв">#REF!</definedName>
    <definedName name="КобрЭЦсвязь" localSheetId="0">#REF!</definedName>
    <definedName name="КобрЭЦсвязь">#REF!</definedName>
    <definedName name="коэф9гл">'[4]Сводный 2019'!$J$540</definedName>
    <definedName name="коэфлим">'[4]Структура 2019'!$H$5</definedName>
    <definedName name="Кпер01">'[5]Лист опроса'!$B$61</definedName>
    <definedName name="Кцукс">'[6]Лист опроса'!$B$33</definedName>
    <definedName name="лаборатория" localSheetId="0">#REF!</definedName>
    <definedName name="лаборатория">#REF!</definedName>
    <definedName name="лдолрпавчс" localSheetId="0">#REF!</definedName>
    <definedName name="лдолрпавчс">#REF!</definedName>
    <definedName name="Напк">'[1]Лист опроса'!$B$35</definedName>
    <definedName name="непредвид">[2]Индексы!$M$4</definedName>
    <definedName name="номер1" localSheetId="0">#REF!</definedName>
    <definedName name="номер1">#REF!</definedName>
    <definedName name="номсм1" localSheetId="0">#REF!</definedName>
    <definedName name="номсм1">#REF!</definedName>
    <definedName name="номсм10" localSheetId="0">#REF!</definedName>
    <definedName name="номсм10">#REF!</definedName>
    <definedName name="номсм11" localSheetId="0">#REF!</definedName>
    <definedName name="номсм11">#REF!</definedName>
    <definedName name="номсм12" localSheetId="0">#REF!</definedName>
    <definedName name="номсм12">#REF!</definedName>
    <definedName name="номсм13" localSheetId="0">#REF!</definedName>
    <definedName name="номсм13">#REF!</definedName>
    <definedName name="номсм14" localSheetId="0">#REF!</definedName>
    <definedName name="номсм14">#REF!</definedName>
    <definedName name="номсм15" localSheetId="0">#REF!</definedName>
    <definedName name="номсм15">#REF!</definedName>
    <definedName name="номсм16" localSheetId="0">#REF!</definedName>
    <definedName name="номсм16">#REF!</definedName>
    <definedName name="номсм17" localSheetId="0">#REF!</definedName>
    <definedName name="номсм17">#REF!</definedName>
    <definedName name="номсм18" localSheetId="0">#REF!</definedName>
    <definedName name="номсм18">#REF!</definedName>
    <definedName name="номсм19" localSheetId="0">#REF!</definedName>
    <definedName name="номсм19">#REF!</definedName>
    <definedName name="номсм2" localSheetId="0">#REF!</definedName>
    <definedName name="номсм2">#REF!</definedName>
    <definedName name="номсм20" localSheetId="0">#REF!</definedName>
    <definedName name="номсм20">#REF!</definedName>
    <definedName name="номсм21" localSheetId="0">#REF!</definedName>
    <definedName name="номсм21">#REF!</definedName>
    <definedName name="номсм22" localSheetId="0">#REF!</definedName>
    <definedName name="номсм22">#REF!</definedName>
    <definedName name="номсм23" localSheetId="0">#REF!</definedName>
    <definedName name="номсм23">#REF!</definedName>
    <definedName name="номсм24" localSheetId="0">#REF!</definedName>
    <definedName name="номсм24">#REF!</definedName>
    <definedName name="номсм25" localSheetId="0">#REF!</definedName>
    <definedName name="номсм25">#REF!</definedName>
    <definedName name="номсм26" localSheetId="0">#REF!</definedName>
    <definedName name="номсм26">#REF!</definedName>
    <definedName name="номсм27" localSheetId="0">#REF!</definedName>
    <definedName name="номсм27">#REF!</definedName>
    <definedName name="номсм28" localSheetId="0">#REF!</definedName>
    <definedName name="номсм28">#REF!</definedName>
    <definedName name="номсм29" localSheetId="0">#REF!</definedName>
    <definedName name="номсм29">#REF!</definedName>
    <definedName name="номсм3" localSheetId="0">#REF!</definedName>
    <definedName name="номсм3">#REF!</definedName>
    <definedName name="номсм30" localSheetId="0">#REF!</definedName>
    <definedName name="номсм30">#REF!</definedName>
    <definedName name="номсм31" localSheetId="0">#REF!</definedName>
    <definedName name="номсм31">#REF!</definedName>
    <definedName name="номсм32" localSheetId="0">#REF!</definedName>
    <definedName name="номсм32">#REF!</definedName>
    <definedName name="номсм33" localSheetId="0">#REF!</definedName>
    <definedName name="номсм33">#REF!</definedName>
    <definedName name="номсм34" localSheetId="0">#REF!</definedName>
    <definedName name="номсм34">#REF!</definedName>
    <definedName name="номсм35" localSheetId="0">#REF!</definedName>
    <definedName name="номсм35">#REF!</definedName>
    <definedName name="номсм36" localSheetId="0">#REF!</definedName>
    <definedName name="номсм36">#REF!</definedName>
    <definedName name="номсм37" localSheetId="0">#REF!</definedName>
    <definedName name="номсм37">#REF!</definedName>
    <definedName name="номсм38" localSheetId="0">#REF!</definedName>
    <definedName name="номсм38">#REF!</definedName>
    <definedName name="номсм39" localSheetId="0">#REF!</definedName>
    <definedName name="номсм39">#REF!</definedName>
    <definedName name="номсм4" localSheetId="0">#REF!</definedName>
    <definedName name="номсм4">#REF!</definedName>
    <definedName name="номсм40" localSheetId="0">#REF!</definedName>
    <definedName name="номсм40">#REF!</definedName>
    <definedName name="номсм41" localSheetId="0">#REF!</definedName>
    <definedName name="номсм41">#REF!</definedName>
    <definedName name="номсм5" localSheetId="0">#REF!</definedName>
    <definedName name="номсм5">#REF!</definedName>
    <definedName name="номсм6" localSheetId="0">#REF!</definedName>
    <definedName name="номсм6">#REF!</definedName>
    <definedName name="номсм7" localSheetId="0">#REF!</definedName>
    <definedName name="номсм7">#REF!</definedName>
    <definedName name="номсм8" localSheetId="0">#REF!</definedName>
    <definedName name="номсм8">#REF!</definedName>
    <definedName name="номсм9" localSheetId="0">#REF!</definedName>
    <definedName name="номсм9">#REF!</definedName>
    <definedName name="о" localSheetId="0">#REF!</definedName>
    <definedName name="о">#REF!</definedName>
    <definedName name="оборуд">[2]Индексы!$E$4</definedName>
    <definedName name="ольг" localSheetId="0">#REF!</definedName>
    <definedName name="ольг">#REF!</definedName>
    <definedName name="ПАБпроц" localSheetId="0">#REF!</definedName>
    <definedName name="ПАБпроц">#REF!</definedName>
    <definedName name="ПЕРЕпроц" localSheetId="0">#REF!</definedName>
    <definedName name="ПЕРЕпроц">#REF!</definedName>
    <definedName name="по_сетунь" localSheetId="0">#REF!</definedName>
    <definedName name="по_сетунь">#REF!</definedName>
    <definedName name="по_тракт" localSheetId="0">#REF!</definedName>
    <definedName name="по_тракт">#REF!</definedName>
    <definedName name="Полевые" localSheetId="0">#REF!</definedName>
    <definedName name="Полевые">#REF!</definedName>
    <definedName name="ПРИЗНАК" localSheetId="0">#REF!</definedName>
    <definedName name="ПРИЗНАК">#REF!</definedName>
    <definedName name="проект">[2]Индексы!$I$4</definedName>
    <definedName name="Прот">'[1]Лист опроса'!$B$7</definedName>
    <definedName name="Прот2">'[1]Лист опроса'!$C$54</definedName>
    <definedName name="Прот3">'[1]Лист опроса'!$C$55</definedName>
    <definedName name="ПротА1" localSheetId="0">#REF!</definedName>
    <definedName name="ПротА1">#REF!</definedName>
    <definedName name="Протр" localSheetId="0">#REF!</definedName>
    <definedName name="Протр">#REF!</definedName>
    <definedName name="Протр2" localSheetId="0">#REF!</definedName>
    <definedName name="Протр2">#REF!</definedName>
    <definedName name="процА1" localSheetId="0">#REF!</definedName>
    <definedName name="процА1">#REF!</definedName>
    <definedName name="проч">[2]Индексы!$F$4</definedName>
    <definedName name="прочие" localSheetId="0">#REF!</definedName>
    <definedName name="прочие">#REF!</definedName>
    <definedName name="Прочие_работы" localSheetId="0">#REF!</definedName>
    <definedName name="Прочие_работы">#REF!</definedName>
    <definedName name="пунктА1" localSheetId="0">#REF!</definedName>
    <definedName name="пунктА1">#REF!</definedName>
    <definedName name="пунктАБ" localSheetId="0">#REF!</definedName>
    <definedName name="пунктАБ">#REF!</definedName>
    <definedName name="пунктДЦ" localSheetId="0">#REF!</definedName>
    <definedName name="пунктДЦ">#REF!</definedName>
    <definedName name="пусконалад">[2]Индексы!$H$4</definedName>
    <definedName name="Путепровод" localSheetId="0">#REF!</definedName>
    <definedName name="Путепровод">#REF!</definedName>
    <definedName name="Путепровод1" localSheetId="0">#REF!</definedName>
    <definedName name="Путепровод1">#REF!</definedName>
    <definedName name="рр" localSheetId="0">#REF!</definedName>
    <definedName name="рр">#REF!</definedName>
    <definedName name="см1" localSheetId="0">#REF!</definedName>
    <definedName name="см1">#REF!</definedName>
    <definedName name="см10" localSheetId="0">#REF!</definedName>
    <definedName name="см10">#REF!</definedName>
    <definedName name="см11" localSheetId="0">#REF!</definedName>
    <definedName name="см11">#REF!</definedName>
    <definedName name="см12" localSheetId="0">#REF!</definedName>
    <definedName name="см12">#REF!</definedName>
    <definedName name="см13" localSheetId="0">#REF!</definedName>
    <definedName name="см13">#REF!</definedName>
    <definedName name="см14" localSheetId="0">#REF!</definedName>
    <definedName name="см14">#REF!</definedName>
    <definedName name="см15" localSheetId="0">#REF!</definedName>
    <definedName name="см15">#REF!</definedName>
    <definedName name="см16" localSheetId="0">#REF!</definedName>
    <definedName name="см16">#REF!</definedName>
    <definedName name="см17" localSheetId="0">#REF!</definedName>
    <definedName name="см17">#REF!</definedName>
    <definedName name="см18" localSheetId="0">#REF!</definedName>
    <definedName name="см18">#REF!</definedName>
    <definedName name="см19" localSheetId="0">#REF!</definedName>
    <definedName name="см19">#REF!</definedName>
    <definedName name="см2" localSheetId="0">#REF!</definedName>
    <definedName name="см2">#REF!</definedName>
    <definedName name="см20" localSheetId="0">#REF!</definedName>
    <definedName name="см20">#REF!</definedName>
    <definedName name="см21" localSheetId="0">#REF!</definedName>
    <definedName name="см21">#REF!</definedName>
    <definedName name="см22" localSheetId="0">#REF!</definedName>
    <definedName name="см22">#REF!</definedName>
    <definedName name="см23" localSheetId="0">#REF!</definedName>
    <definedName name="см23">#REF!</definedName>
    <definedName name="см24" localSheetId="0">#REF!</definedName>
    <definedName name="см24">#REF!</definedName>
    <definedName name="см25" localSheetId="0">#REF!</definedName>
    <definedName name="см25">#REF!</definedName>
    <definedName name="см26" localSheetId="0">#REF!</definedName>
    <definedName name="см26">#REF!</definedName>
    <definedName name="см27" localSheetId="0">#REF!</definedName>
    <definedName name="см27">#REF!</definedName>
    <definedName name="см28" localSheetId="0">#REF!</definedName>
    <definedName name="см28">#REF!</definedName>
    <definedName name="см29" localSheetId="0">#REF!</definedName>
    <definedName name="см29">#REF!</definedName>
    <definedName name="см3" localSheetId="0">#REF!</definedName>
    <definedName name="см3">#REF!</definedName>
    <definedName name="см30" localSheetId="0">#REF!</definedName>
    <definedName name="см30">#REF!</definedName>
    <definedName name="см31" localSheetId="0">#REF!</definedName>
    <definedName name="см31">#REF!</definedName>
    <definedName name="см32" localSheetId="0">#REF!</definedName>
    <definedName name="см32">#REF!</definedName>
    <definedName name="см33" localSheetId="0">#REF!</definedName>
    <definedName name="см33">#REF!</definedName>
    <definedName name="см34" localSheetId="0">#REF!</definedName>
    <definedName name="см34">#REF!</definedName>
    <definedName name="см35" localSheetId="0">#REF!</definedName>
    <definedName name="см35">#REF!</definedName>
    <definedName name="см36" localSheetId="0">#REF!</definedName>
    <definedName name="см36">#REF!</definedName>
    <definedName name="см37" localSheetId="0">#REF!</definedName>
    <definedName name="см37">#REF!</definedName>
    <definedName name="см38" localSheetId="0">#REF!</definedName>
    <definedName name="см38">#REF!</definedName>
    <definedName name="см39" localSheetId="0">#REF!</definedName>
    <definedName name="см39">#REF!</definedName>
    <definedName name="см4" localSheetId="0">#REF!</definedName>
    <definedName name="см4">#REF!</definedName>
    <definedName name="см40" localSheetId="0">#REF!</definedName>
    <definedName name="см40">#REF!</definedName>
    <definedName name="см41" localSheetId="0">#REF!</definedName>
    <definedName name="см41">#REF!</definedName>
    <definedName name="см5" localSheetId="0">#REF!</definedName>
    <definedName name="см5">#REF!</definedName>
    <definedName name="см6" localSheetId="0">#REF!</definedName>
    <definedName name="см6">#REF!</definedName>
    <definedName name="см7" localSheetId="0">#REF!</definedName>
    <definedName name="см7">#REF!</definedName>
    <definedName name="см8" localSheetId="0">#REF!</definedName>
    <definedName name="см8">#REF!</definedName>
    <definedName name="см9" localSheetId="0">#REF!</definedName>
    <definedName name="см9">#REF!</definedName>
    <definedName name="сме" localSheetId="0">#REF!</definedName>
    <definedName name="сме">#REF!</definedName>
    <definedName name="смр">[4]Индексы!$C$3</definedName>
    <definedName name="смр_езк">[2]Индексы!$C$4</definedName>
    <definedName name="сп_сем">[2]СП!$F$3:$F$85</definedName>
    <definedName name="сп_тома">[4]СП!$F$3:$F$24</definedName>
    <definedName name="СтрАУ">'[1]Лист опроса'!$B$13</definedName>
    <definedName name="СтрДУ">'[1]Лист опроса'!$B$12</definedName>
    <definedName name="Стрелки">'[1]Лист опроса'!$B$11</definedName>
    <definedName name="СтЭЦ1" localSheetId="0">'[1]Лист опроса'!#REF!</definedName>
    <definedName name="СтЭЦ1">'[1]Лист опроса'!#REF!</definedName>
    <definedName name="СтЭЦ2" localSheetId="0">'[1]Лист опроса'!#REF!</definedName>
    <definedName name="СтЭЦ2">'[1]Лист опроса'!#REF!</definedName>
    <definedName name="СтЭЦ3" localSheetId="0">'[1]Лист опроса'!#REF!</definedName>
    <definedName name="СтЭЦ3">'[1]Лист опроса'!#REF!</definedName>
    <definedName name="СтЭЦ4" localSheetId="0">'[1]Лист опроса'!#REF!</definedName>
    <definedName name="СтЭЦ4">'[1]Лист опроса'!#REF!</definedName>
    <definedName name="СтЭЦ5" localSheetId="0">'[1]Лист опроса'!#REF!</definedName>
    <definedName name="СтЭЦ5">'[1]Лист опроса'!#REF!</definedName>
    <definedName name="СтЭЦ6" localSheetId="0">'[1]Лист опроса'!#REF!</definedName>
    <definedName name="СтЭЦ6">'[1]Лист опроса'!#REF!</definedName>
    <definedName name="СумКор" localSheetId="0">#REF!</definedName>
    <definedName name="СумКор">#REF!</definedName>
    <definedName name="СЦПГ" localSheetId="0">#REF!</definedName>
    <definedName name="СЦПГ">#REF!</definedName>
    <definedName name="Титул1">'[1]Лист опроса'!$B$1</definedName>
    <definedName name="Титул2">'[1]Лист опроса'!$B$2</definedName>
    <definedName name="Титул3">'[1]Лист опроса'!$A$4</definedName>
    <definedName name="Титул4">'[1]Лист опроса'!$B$4</definedName>
    <definedName name="тома_м9">[2]СП!$F$3:$F$68</definedName>
    <definedName name="укнгн" localSheetId="0">#REF!</definedName>
    <definedName name="укнгн">#REF!</definedName>
    <definedName name="Ф4" localSheetId="0">#REF!</definedName>
    <definedName name="Ф4">#REF!</definedName>
    <definedName name="фавпфв" localSheetId="0">#REF!</definedName>
    <definedName name="фавпфв">#REF!</definedName>
    <definedName name="фва" localSheetId="0">#REF!</definedName>
    <definedName name="фва">#REF!</definedName>
    <definedName name="фсм1" localSheetId="0">#REF!</definedName>
    <definedName name="фсм1">#REF!</definedName>
    <definedName name="фсм10" localSheetId="0">#REF!</definedName>
    <definedName name="фсм10">#REF!</definedName>
    <definedName name="фсм11" localSheetId="0">#REF!</definedName>
    <definedName name="фсм11">#REF!</definedName>
    <definedName name="фсм12" localSheetId="0">#REF!</definedName>
    <definedName name="фсм12">#REF!</definedName>
    <definedName name="фсм13" localSheetId="0">#REF!</definedName>
    <definedName name="фсм13">#REF!</definedName>
    <definedName name="фсм14" localSheetId="0">#REF!</definedName>
    <definedName name="фсм14">#REF!</definedName>
    <definedName name="фсм15" localSheetId="0">#REF!</definedName>
    <definedName name="фсм15">#REF!</definedName>
    <definedName name="фсм16" localSheetId="0">#REF!</definedName>
    <definedName name="фсм16">#REF!</definedName>
    <definedName name="фсм17" localSheetId="0">#REF!</definedName>
    <definedName name="фсм17">#REF!</definedName>
    <definedName name="фсм18" localSheetId="0">#REF!</definedName>
    <definedName name="фсм18">#REF!</definedName>
    <definedName name="фсм19" localSheetId="0">#REF!</definedName>
    <definedName name="фсм19">#REF!</definedName>
    <definedName name="фсм2" localSheetId="0">#REF!</definedName>
    <definedName name="фсм2">#REF!</definedName>
    <definedName name="фсм20" localSheetId="0">#REF!</definedName>
    <definedName name="фсм20">#REF!</definedName>
    <definedName name="фсм21" localSheetId="0">#REF!</definedName>
    <definedName name="фсм21">#REF!</definedName>
    <definedName name="фсм22" localSheetId="0">#REF!</definedName>
    <definedName name="фсм22">#REF!</definedName>
    <definedName name="фсм23" localSheetId="0">#REF!</definedName>
    <definedName name="фсм23">#REF!</definedName>
    <definedName name="фсм24" localSheetId="0">#REF!</definedName>
    <definedName name="фсм24">#REF!</definedName>
    <definedName name="фсм25" localSheetId="0">#REF!</definedName>
    <definedName name="фсм25">#REF!</definedName>
    <definedName name="фсм26" localSheetId="0">#REF!</definedName>
    <definedName name="фсм26">#REF!</definedName>
    <definedName name="фсм27" localSheetId="0">#REF!</definedName>
    <definedName name="фсм27">#REF!</definedName>
    <definedName name="фсм28" localSheetId="0">#REF!</definedName>
    <definedName name="фсм28">#REF!</definedName>
    <definedName name="фсм29" localSheetId="0">#REF!</definedName>
    <definedName name="фсм29">#REF!</definedName>
    <definedName name="фсм3" localSheetId="0">#REF!</definedName>
    <definedName name="фсм3">#REF!</definedName>
    <definedName name="фсм30" localSheetId="0">#REF!</definedName>
    <definedName name="фсм30">#REF!</definedName>
    <definedName name="фсм31" localSheetId="0">#REF!</definedName>
    <definedName name="фсм31">#REF!</definedName>
    <definedName name="фсм32" localSheetId="0">#REF!</definedName>
    <definedName name="фсм32">#REF!</definedName>
    <definedName name="фсм33" localSheetId="0">#REF!</definedName>
    <definedName name="фсм33">#REF!</definedName>
    <definedName name="фсм34" localSheetId="0">#REF!</definedName>
    <definedName name="фсм34">#REF!</definedName>
    <definedName name="фсм35" localSheetId="0">#REF!</definedName>
    <definedName name="фсм35">#REF!</definedName>
    <definedName name="фсм36" localSheetId="0">#REF!</definedName>
    <definedName name="фсм36">#REF!</definedName>
    <definedName name="фсм37" localSheetId="0">#REF!</definedName>
    <definedName name="фсм37">#REF!</definedName>
    <definedName name="фсм38" localSheetId="0">#REF!</definedName>
    <definedName name="фсм38">#REF!</definedName>
    <definedName name="фсм39" localSheetId="0">#REF!</definedName>
    <definedName name="фсм39">#REF!</definedName>
    <definedName name="фсм4" localSheetId="0">#REF!</definedName>
    <definedName name="фсм4">#REF!</definedName>
    <definedName name="фсм40" localSheetId="0">#REF!</definedName>
    <definedName name="фсм40">#REF!</definedName>
    <definedName name="фсм41" localSheetId="0">#REF!</definedName>
    <definedName name="фсм41">#REF!</definedName>
    <definedName name="фсм5" localSheetId="0">#REF!</definedName>
    <definedName name="фсм5">#REF!</definedName>
    <definedName name="фсм6" localSheetId="0">#REF!</definedName>
    <definedName name="фсм6">#REF!</definedName>
    <definedName name="фсм7" localSheetId="0">#REF!</definedName>
    <definedName name="фсм7">#REF!</definedName>
    <definedName name="фсм8" localSheetId="0">#REF!</definedName>
    <definedName name="фсм8">#REF!</definedName>
    <definedName name="фсм9" localSheetId="0">#REF!</definedName>
    <definedName name="фсм9">#REF!</definedName>
    <definedName name="ыва" localSheetId="0">#REF!</definedName>
    <definedName name="ыва">#REF!</definedName>
    <definedName name="экспертиза">[2]Индексы!$G$4</definedName>
    <definedName name="Эприс2проц" localSheetId="0">#REF!</definedName>
    <definedName name="Эприс2проц">#REF!</definedName>
    <definedName name="Эприспроц" localSheetId="0">#REF!</definedName>
    <definedName name="Эприспроц">#REF!</definedName>
    <definedName name="Эпроц" localSheetId="0">#REF!</definedName>
    <definedName name="Эпроц">#REF!</definedName>
    <definedName name="ЭЦпроц" localSheetId="0">#REF!</definedName>
    <definedName name="ЭЦпроц">#REF!</definedName>
    <definedName name="ЭЦсвязьпроц" localSheetId="0">#REF!</definedName>
    <definedName name="ЭЦсвязьпроц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49" i="26" l="1"/>
  <c r="D621" i="26" l="1"/>
  <c r="D141" i="26"/>
  <c r="H889" i="26" l="1"/>
  <c r="O889" i="26" s="1"/>
  <c r="P889" i="26" s="1"/>
  <c r="H884" i="26"/>
  <c r="O884" i="26" s="1"/>
  <c r="P884" i="26" s="1"/>
  <c r="H883" i="26"/>
  <c r="O883" i="26" s="1"/>
  <c r="P883" i="26" s="1"/>
  <c r="H882" i="26"/>
  <c r="O882" i="26" s="1"/>
  <c r="P882" i="26" s="1"/>
  <c r="H881" i="26"/>
  <c r="O881" i="26" s="1"/>
  <c r="P881" i="26" s="1"/>
  <c r="H880" i="26"/>
  <c r="O880" i="26" s="1"/>
  <c r="P880" i="26" s="1"/>
  <c r="H879" i="26"/>
  <c r="O879" i="26" s="1"/>
  <c r="P879" i="26" s="1"/>
  <c r="H878" i="26"/>
  <c r="O878" i="26" s="1"/>
  <c r="P878" i="26" s="1"/>
  <c r="H877" i="26"/>
  <c r="O877" i="26" s="1"/>
  <c r="Z878" i="26"/>
  <c r="Z879" i="26"/>
  <c r="Z880" i="26"/>
  <c r="Z881" i="26"/>
  <c r="Z882" i="26"/>
  <c r="Z883" i="26"/>
  <c r="Z884" i="26"/>
  <c r="Z885" i="26"/>
  <c r="Z886" i="26"/>
  <c r="Z887" i="26"/>
  <c r="Z888" i="26"/>
  <c r="Z889" i="26"/>
  <c r="Z877" i="26"/>
  <c r="O885" i="26"/>
  <c r="P885" i="26" s="1"/>
  <c r="O886" i="26"/>
  <c r="P886" i="26" s="1"/>
  <c r="O887" i="26"/>
  <c r="P887" i="26" s="1"/>
  <c r="O888" i="26"/>
  <c r="P888" i="26" s="1"/>
  <c r="Q889" i="26" l="1"/>
  <c r="R889" i="26" s="1"/>
  <c r="AA889" i="26" s="1"/>
  <c r="AB889" i="26" s="1"/>
  <c r="AC889" i="26" s="1"/>
  <c r="AD889" i="26" s="1"/>
  <c r="Q888" i="26"/>
  <c r="Q887" i="26"/>
  <c r="R887" i="26" s="1"/>
  <c r="Q885" i="26"/>
  <c r="R885" i="26" s="1"/>
  <c r="Q884" i="26"/>
  <c r="Q883" i="26"/>
  <c r="R883" i="26" s="1"/>
  <c r="Q882" i="26"/>
  <c r="R882" i="26" s="1"/>
  <c r="Q881" i="26"/>
  <c r="R881" i="26" s="1"/>
  <c r="Q880" i="26"/>
  <c r="Q879" i="26"/>
  <c r="R879" i="26" s="1"/>
  <c r="Q878" i="26"/>
  <c r="R878" i="26" s="1"/>
  <c r="Q886" i="26"/>
  <c r="R886" i="26" s="1"/>
  <c r="P877" i="26"/>
  <c r="Q877" i="26" s="1"/>
  <c r="AA886" i="26" l="1"/>
  <c r="AB886" i="26" s="1"/>
  <c r="AC886" i="26" s="1"/>
  <c r="AD886" i="26" s="1"/>
  <c r="AA887" i="26"/>
  <c r="AB887" i="26" s="1"/>
  <c r="AC887" i="26" s="1"/>
  <c r="AD887" i="26" s="1"/>
  <c r="R888" i="26"/>
  <c r="AA888" i="26" s="1"/>
  <c r="AB888" i="26" s="1"/>
  <c r="AC888" i="26" s="1"/>
  <c r="AD888" i="26" s="1"/>
  <c r="AA885" i="26"/>
  <c r="AB885" i="26" s="1"/>
  <c r="AC885" i="26" s="1"/>
  <c r="AD885" i="26" s="1"/>
  <c r="R884" i="26"/>
  <c r="AA884" i="26" s="1"/>
  <c r="AB884" i="26" s="1"/>
  <c r="AC884" i="26" s="1"/>
  <c r="AD884" i="26" s="1"/>
  <c r="AA883" i="26"/>
  <c r="AB883" i="26" s="1"/>
  <c r="AC883" i="26" s="1"/>
  <c r="AD883" i="26" s="1"/>
  <c r="AA882" i="26"/>
  <c r="AB882" i="26" s="1"/>
  <c r="AC882" i="26" s="1"/>
  <c r="AD882" i="26" s="1"/>
  <c r="AA881" i="26"/>
  <c r="AB881" i="26" s="1"/>
  <c r="AC881" i="26" s="1"/>
  <c r="AD881" i="26" s="1"/>
  <c r="R880" i="26"/>
  <c r="AA880" i="26" s="1"/>
  <c r="AB880" i="26" s="1"/>
  <c r="AC880" i="26" s="1"/>
  <c r="AD880" i="26" s="1"/>
  <c r="AA879" i="26"/>
  <c r="AB879" i="26" s="1"/>
  <c r="AC879" i="26" s="1"/>
  <c r="AD879" i="26" s="1"/>
  <c r="AA878" i="26"/>
  <c r="AB878" i="26" s="1"/>
  <c r="AC878" i="26" s="1"/>
  <c r="AD878" i="26" s="1"/>
  <c r="R877" i="26"/>
  <c r="AA877" i="26" s="1"/>
  <c r="AB877" i="26" s="1"/>
  <c r="AC877" i="26" s="1"/>
  <c r="AD877" i="26" s="1"/>
  <c r="AF880" i="26" l="1"/>
  <c r="AF881" i="26"/>
  <c r="AF882" i="26"/>
  <c r="AF879" i="26"/>
  <c r="AF878" i="26"/>
  <c r="AF877" i="26"/>
  <c r="AF886" i="26"/>
  <c r="AF885" i="26"/>
  <c r="AF884" i="26"/>
  <c r="AF883" i="26"/>
  <c r="AF888" i="26"/>
  <c r="AF887" i="26"/>
  <c r="AF889" i="26"/>
  <c r="H928" i="26" l="1"/>
  <c r="H927" i="26"/>
  <c r="H926" i="26"/>
  <c r="H925" i="26"/>
  <c r="O925" i="26" s="1"/>
  <c r="O11" i="26" l="1"/>
  <c r="Q11" i="26" s="1"/>
  <c r="AA11" i="26" s="1"/>
  <c r="AB11" i="26" s="1"/>
  <c r="D11" i="26"/>
  <c r="E11" i="26" s="1"/>
  <c r="AC11" i="26" l="1"/>
  <c r="AD11" i="26" s="1"/>
  <c r="AF11" i="26" s="1"/>
  <c r="D809" i="26"/>
  <c r="D256" i="26" l="1"/>
  <c r="AF834" i="26" l="1"/>
  <c r="AF832" i="26"/>
  <c r="T945" i="26" l="1"/>
  <c r="S945" i="26"/>
  <c r="S131" i="26"/>
  <c r="S16" i="26"/>
  <c r="X371" i="26"/>
  <c r="G353" i="26"/>
  <c r="G359" i="26" s="1"/>
  <c r="H359" i="26" s="1"/>
  <c r="O359" i="26" s="1"/>
  <c r="D246" i="26"/>
  <c r="D247" i="26"/>
  <c r="G236" i="26"/>
  <c r="G294" i="26" s="1"/>
  <c r="H294" i="26" s="1"/>
  <c r="O294" i="26" s="1"/>
  <c r="G753" i="26"/>
  <c r="G756" i="26" s="1"/>
  <c r="H756" i="26" s="1"/>
  <c r="O756" i="26" s="1"/>
  <c r="D786" i="26"/>
  <c r="G706" i="26"/>
  <c r="G709" i="26" s="1"/>
  <c r="H709" i="26" s="1"/>
  <c r="O709" i="26" s="1"/>
  <c r="P709" i="26" s="1"/>
  <c r="Q709" i="26" s="1"/>
  <c r="R709" i="26" s="1"/>
  <c r="G441" i="26"/>
  <c r="G443" i="26" s="1"/>
  <c r="H443" i="26" s="1"/>
  <c r="O443" i="26" s="1"/>
  <c r="P443" i="26" s="1"/>
  <c r="G406" i="26"/>
  <c r="G408" i="26" s="1"/>
  <c r="H408" i="26" s="1"/>
  <c r="O408" i="26" s="1"/>
  <c r="P408" i="26" s="1"/>
  <c r="Q408" i="26" s="1"/>
  <c r="R408" i="26" s="1"/>
  <c r="D428" i="26"/>
  <c r="D417" i="26"/>
  <c r="D391" i="26"/>
  <c r="D379" i="26"/>
  <c r="G177" i="26"/>
  <c r="G179" i="26" s="1"/>
  <c r="P756" i="26" l="1"/>
  <c r="Q756" i="26" s="1"/>
  <c r="Q443" i="26"/>
  <c r="P359" i="26"/>
  <c r="Q359" i="26" s="1"/>
  <c r="R359" i="26" s="1"/>
  <c r="G247" i="26"/>
  <c r="H247" i="26" s="1"/>
  <c r="G246" i="26"/>
  <c r="H246" i="26" s="1"/>
  <c r="P294" i="26"/>
  <c r="Q294" i="26" s="1"/>
  <c r="R294" i="26" s="1"/>
  <c r="G795" i="26"/>
  <c r="H795" i="26" s="1"/>
  <c r="O795" i="26" s="1"/>
  <c r="P795" i="26" s="1"/>
  <c r="G790" i="26"/>
  <c r="H790" i="26" s="1"/>
  <c r="O790" i="26" s="1"/>
  <c r="P790" i="26" s="1"/>
  <c r="Q790" i="26" s="1"/>
  <c r="R790" i="26" s="1"/>
  <c r="G787" i="26"/>
  <c r="H787" i="26" s="1"/>
  <c r="O787" i="26" s="1"/>
  <c r="P787" i="26" s="1"/>
  <c r="Q787" i="26" s="1"/>
  <c r="R787" i="26" s="1"/>
  <c r="G782" i="26"/>
  <c r="H782" i="26" s="1"/>
  <c r="O782" i="26" s="1"/>
  <c r="P782" i="26" s="1"/>
  <c r="Q782" i="26" s="1"/>
  <c r="G774" i="26"/>
  <c r="H774" i="26" s="1"/>
  <c r="O774" i="26" s="1"/>
  <c r="G766" i="26"/>
  <c r="H766" i="26" s="1"/>
  <c r="O766" i="26" s="1"/>
  <c r="P766" i="26" s="1"/>
  <c r="Q766" i="26" s="1"/>
  <c r="G758" i="26"/>
  <c r="H758" i="26" s="1"/>
  <c r="O758" i="26" s="1"/>
  <c r="P758" i="26" s="1"/>
  <c r="G805" i="26"/>
  <c r="H805" i="26" s="1"/>
  <c r="O805" i="26" s="1"/>
  <c r="G800" i="26"/>
  <c r="H800" i="26" s="1"/>
  <c r="O800" i="26" s="1"/>
  <c r="P800" i="26" s="1"/>
  <c r="G792" i="26"/>
  <c r="H792" i="26" s="1"/>
  <c r="O792" i="26" s="1"/>
  <c r="P792" i="26" s="1"/>
  <c r="Q792" i="26" s="1"/>
  <c r="R792" i="26" s="1"/>
  <c r="G789" i="26"/>
  <c r="H789" i="26" s="1"/>
  <c r="O789" i="26" s="1"/>
  <c r="P789" i="26" s="1"/>
  <c r="Q789" i="26" s="1"/>
  <c r="R789" i="26" s="1"/>
  <c r="G784" i="26"/>
  <c r="H784" i="26" s="1"/>
  <c r="O784" i="26" s="1"/>
  <c r="P784" i="26" s="1"/>
  <c r="Q784" i="26" s="1"/>
  <c r="R784" i="26" s="1"/>
  <c r="G781" i="26"/>
  <c r="H781" i="26" s="1"/>
  <c r="O781" i="26" s="1"/>
  <c r="P781" i="26" s="1"/>
  <c r="G776" i="26"/>
  <c r="H776" i="26" s="1"/>
  <c r="O776" i="26" s="1"/>
  <c r="P776" i="26" s="1"/>
  <c r="G773" i="26"/>
  <c r="H773" i="26" s="1"/>
  <c r="O773" i="26" s="1"/>
  <c r="P773" i="26" s="1"/>
  <c r="G768" i="26"/>
  <c r="H768" i="26" s="1"/>
  <c r="O768" i="26" s="1"/>
  <c r="P768" i="26" s="1"/>
  <c r="G765" i="26"/>
  <c r="H765" i="26" s="1"/>
  <c r="O765" i="26" s="1"/>
  <c r="P765" i="26" s="1"/>
  <c r="G760" i="26"/>
  <c r="H760" i="26" s="1"/>
  <c r="O760" i="26" s="1"/>
  <c r="P760" i="26" s="1"/>
  <c r="G757" i="26"/>
  <c r="H757" i="26" s="1"/>
  <c r="O757" i="26" s="1"/>
  <c r="P757" i="26" s="1"/>
  <c r="G754" i="26"/>
  <c r="H754" i="26" s="1"/>
  <c r="O754" i="26" s="1"/>
  <c r="P754" i="26" s="1"/>
  <c r="Q754" i="26" s="1"/>
  <c r="G803" i="26"/>
  <c r="H803" i="26" s="1"/>
  <c r="O803" i="26" s="1"/>
  <c r="G798" i="26"/>
  <c r="H798" i="26" s="1"/>
  <c r="O798" i="26" s="1"/>
  <c r="P798" i="26" s="1"/>
  <c r="G779" i="26"/>
  <c r="H779" i="26" s="1"/>
  <c r="O779" i="26" s="1"/>
  <c r="G771" i="26"/>
  <c r="H771" i="26" s="1"/>
  <c r="O771" i="26" s="1"/>
  <c r="P771" i="26" s="1"/>
  <c r="G763" i="26"/>
  <c r="H763" i="26" s="1"/>
  <c r="O763" i="26" s="1"/>
  <c r="P763" i="26" s="1"/>
  <c r="Q763" i="26" s="1"/>
  <c r="G755" i="26"/>
  <c r="H755" i="26" s="1"/>
  <c r="O755" i="26" s="1"/>
  <c r="P755" i="26" s="1"/>
  <c r="G802" i="26"/>
  <c r="H802" i="26" s="1"/>
  <c r="O802" i="26" s="1"/>
  <c r="G799" i="26"/>
  <c r="H799" i="26" s="1"/>
  <c r="O799" i="26" s="1"/>
  <c r="P799" i="26" s="1"/>
  <c r="Q799" i="26" s="1"/>
  <c r="G794" i="26"/>
  <c r="H794" i="26" s="1"/>
  <c r="O794" i="26" s="1"/>
  <c r="P794" i="26" s="1"/>
  <c r="G791" i="26"/>
  <c r="H791" i="26" s="1"/>
  <c r="O791" i="26" s="1"/>
  <c r="P791" i="26" s="1"/>
  <c r="Q791" i="26" s="1"/>
  <c r="R791" i="26" s="1"/>
  <c r="G786" i="26"/>
  <c r="H786" i="26" s="1"/>
  <c r="O786" i="26" s="1"/>
  <c r="P786" i="26" s="1"/>
  <c r="Q786" i="26" s="1"/>
  <c r="R786" i="26" s="1"/>
  <c r="G783" i="26"/>
  <c r="H783" i="26" s="1"/>
  <c r="O783" i="26" s="1"/>
  <c r="P783" i="26" s="1"/>
  <c r="G778" i="26"/>
  <c r="H778" i="26" s="1"/>
  <c r="O778" i="26" s="1"/>
  <c r="P778" i="26" s="1"/>
  <c r="Q778" i="26" s="1"/>
  <c r="G775" i="26"/>
  <c r="H775" i="26" s="1"/>
  <c r="O775" i="26" s="1"/>
  <c r="P775" i="26" s="1"/>
  <c r="G770" i="26"/>
  <c r="H770" i="26" s="1"/>
  <c r="O770" i="26" s="1"/>
  <c r="P770" i="26" s="1"/>
  <c r="Q770" i="26" s="1"/>
  <c r="G767" i="26"/>
  <c r="H767" i="26" s="1"/>
  <c r="O767" i="26" s="1"/>
  <c r="P767" i="26" s="1"/>
  <c r="Q767" i="26" s="1"/>
  <c r="G759" i="26"/>
  <c r="H759" i="26" s="1"/>
  <c r="O759" i="26" s="1"/>
  <c r="G796" i="26"/>
  <c r="H796" i="26" s="1"/>
  <c r="O796" i="26" s="1"/>
  <c r="P796" i="26" s="1"/>
  <c r="G793" i="26"/>
  <c r="H793" i="26" s="1"/>
  <c r="O793" i="26" s="1"/>
  <c r="P793" i="26" s="1"/>
  <c r="G788" i="26"/>
  <c r="H788" i="26" s="1"/>
  <c r="O788" i="26" s="1"/>
  <c r="P788" i="26" s="1"/>
  <c r="Q788" i="26" s="1"/>
  <c r="R788" i="26" s="1"/>
  <c r="G780" i="26"/>
  <c r="H780" i="26" s="1"/>
  <c r="O780" i="26" s="1"/>
  <c r="P780" i="26" s="1"/>
  <c r="G772" i="26"/>
  <c r="H772" i="26" s="1"/>
  <c r="O772" i="26" s="1"/>
  <c r="P772" i="26" s="1"/>
  <c r="G764" i="26"/>
  <c r="H764" i="26" s="1"/>
  <c r="O764" i="26" s="1"/>
  <c r="P764" i="26" s="1"/>
  <c r="G761" i="26"/>
  <c r="H761" i="26" s="1"/>
  <c r="O761" i="26" s="1"/>
  <c r="P761" i="26" s="1"/>
  <c r="G745" i="26"/>
  <c r="H745" i="26" s="1"/>
  <c r="O745" i="26" s="1"/>
  <c r="G742" i="26"/>
  <c r="H742" i="26" s="1"/>
  <c r="O742" i="26" s="1"/>
  <c r="G734" i="26"/>
  <c r="H734" i="26" s="1"/>
  <c r="O734" i="26" s="1"/>
  <c r="G729" i="26"/>
  <c r="H729" i="26" s="1"/>
  <c r="O729" i="26" s="1"/>
  <c r="P729" i="26" s="1"/>
  <c r="Q729" i="26" s="1"/>
  <c r="G718" i="26"/>
  <c r="H718" i="26" s="1"/>
  <c r="O718" i="26" s="1"/>
  <c r="P718" i="26" s="1"/>
  <c r="Q718" i="26" s="1"/>
  <c r="R718" i="26" s="1"/>
  <c r="G710" i="26"/>
  <c r="H710" i="26" s="1"/>
  <c r="O710" i="26" s="1"/>
  <c r="P710" i="26" s="1"/>
  <c r="Q710" i="26" s="1"/>
  <c r="R710" i="26" s="1"/>
  <c r="G707" i="26"/>
  <c r="H707" i="26" s="1"/>
  <c r="O707" i="26" s="1"/>
  <c r="G747" i="26"/>
  <c r="H747" i="26" s="1"/>
  <c r="O747" i="26" s="1"/>
  <c r="P747" i="26" s="1"/>
  <c r="G744" i="26"/>
  <c r="H744" i="26" s="1"/>
  <c r="O744" i="26" s="1"/>
  <c r="G739" i="26"/>
  <c r="H739" i="26" s="1"/>
  <c r="O739" i="26" s="1"/>
  <c r="G731" i="26"/>
  <c r="H731" i="26" s="1"/>
  <c r="O731" i="26" s="1"/>
  <c r="P731" i="26" s="1"/>
  <c r="Q731" i="26" s="1"/>
  <c r="G723" i="26"/>
  <c r="H723" i="26" s="1"/>
  <c r="O723" i="26" s="1"/>
  <c r="G715" i="26"/>
  <c r="H715" i="26" s="1"/>
  <c r="O715" i="26" s="1"/>
  <c r="G712" i="26"/>
  <c r="H712" i="26" s="1"/>
  <c r="O712" i="26" s="1"/>
  <c r="G751" i="26"/>
  <c r="H751" i="26" s="1"/>
  <c r="O751" i="26" s="1"/>
  <c r="P751" i="26" s="1"/>
  <c r="G748" i="26"/>
  <c r="H748" i="26" s="1"/>
  <c r="O748" i="26" s="1"/>
  <c r="G743" i="26"/>
  <c r="H743" i="26" s="1"/>
  <c r="O743" i="26" s="1"/>
  <c r="P743" i="26" s="1"/>
  <c r="Q743" i="26" s="1"/>
  <c r="G740" i="26"/>
  <c r="H740" i="26" s="1"/>
  <c r="O740" i="26" s="1"/>
  <c r="G735" i="26"/>
  <c r="H735" i="26" s="1"/>
  <c r="O735" i="26" s="1"/>
  <c r="P735" i="26" s="1"/>
  <c r="Q735" i="26" s="1"/>
  <c r="G732" i="26"/>
  <c r="H732" i="26" s="1"/>
  <c r="O732" i="26" s="1"/>
  <c r="G727" i="26"/>
  <c r="H727" i="26" s="1"/>
  <c r="O727" i="26" s="1"/>
  <c r="P727" i="26" s="1"/>
  <c r="Q727" i="26" s="1"/>
  <c r="G724" i="26"/>
  <c r="H724" i="26" s="1"/>
  <c r="O724" i="26" s="1"/>
  <c r="G719" i="26"/>
  <c r="H719" i="26" s="1"/>
  <c r="O719" i="26" s="1"/>
  <c r="G716" i="26"/>
  <c r="H716" i="26" s="1"/>
  <c r="O716" i="26" s="1"/>
  <c r="G711" i="26"/>
  <c r="H711" i="26" s="1"/>
  <c r="O711" i="26" s="1"/>
  <c r="G708" i="26"/>
  <c r="H708" i="26" s="1"/>
  <c r="O708" i="26" s="1"/>
  <c r="G737" i="26"/>
  <c r="H737" i="26" s="1"/>
  <c r="O737" i="26" s="1"/>
  <c r="G726" i="26"/>
  <c r="H726" i="26" s="1"/>
  <c r="O726" i="26" s="1"/>
  <c r="G721" i="26"/>
  <c r="H721" i="26" s="1"/>
  <c r="O721" i="26" s="1"/>
  <c r="P721" i="26" s="1"/>
  <c r="Q721" i="26" s="1"/>
  <c r="R721" i="26" s="1"/>
  <c r="G749" i="26"/>
  <c r="H749" i="26" s="1"/>
  <c r="O749" i="26" s="1"/>
  <c r="P749" i="26" s="1"/>
  <c r="G741" i="26"/>
  <c r="H741" i="26" s="1"/>
  <c r="O741" i="26" s="1"/>
  <c r="G738" i="26"/>
  <c r="H738" i="26" s="1"/>
  <c r="O738" i="26" s="1"/>
  <c r="G733" i="26"/>
  <c r="H733" i="26" s="1"/>
  <c r="O733" i="26" s="1"/>
  <c r="P733" i="26" s="1"/>
  <c r="G730" i="26"/>
  <c r="H730" i="26" s="1"/>
  <c r="O730" i="26" s="1"/>
  <c r="G725" i="26"/>
  <c r="H725" i="26" s="1"/>
  <c r="O725" i="26" s="1"/>
  <c r="P725" i="26" s="1"/>
  <c r="G722" i="26"/>
  <c r="H722" i="26" s="1"/>
  <c r="O722" i="26" s="1"/>
  <c r="G717" i="26"/>
  <c r="H717" i="26" s="1"/>
  <c r="O717" i="26" s="1"/>
  <c r="P717" i="26" s="1"/>
  <c r="Q717" i="26" s="1"/>
  <c r="R717" i="26" s="1"/>
  <c r="G714" i="26"/>
  <c r="H714" i="26" s="1"/>
  <c r="O714" i="26" s="1"/>
  <c r="G490" i="26"/>
  <c r="H490" i="26" s="1"/>
  <c r="O490" i="26" s="1"/>
  <c r="P490" i="26" s="1"/>
  <c r="G474" i="26"/>
  <c r="H474" i="26" s="1"/>
  <c r="O474" i="26" s="1"/>
  <c r="P474" i="26" s="1"/>
  <c r="Q474" i="26" s="1"/>
  <c r="G480" i="26"/>
  <c r="H480" i="26" s="1"/>
  <c r="O480" i="26" s="1"/>
  <c r="P480" i="26" s="1"/>
  <c r="Q480" i="26" s="1"/>
  <c r="R480" i="26" s="1"/>
  <c r="G471" i="26"/>
  <c r="H471" i="26" s="1"/>
  <c r="O471" i="26" s="1"/>
  <c r="G487" i="26"/>
  <c r="H487" i="26" s="1"/>
  <c r="O487" i="26" s="1"/>
  <c r="P487" i="26" s="1"/>
  <c r="G469" i="26"/>
  <c r="H469" i="26" s="1"/>
  <c r="O469" i="26" s="1"/>
  <c r="G458" i="26"/>
  <c r="H458" i="26" s="1"/>
  <c r="O458" i="26" s="1"/>
  <c r="P458" i="26" s="1"/>
  <c r="Q458" i="26" s="1"/>
  <c r="G450" i="26"/>
  <c r="H450" i="26" s="1"/>
  <c r="O450" i="26" s="1"/>
  <c r="P450" i="26" s="1"/>
  <c r="G482" i="26"/>
  <c r="H482" i="26" s="1"/>
  <c r="O482" i="26" s="1"/>
  <c r="G488" i="26"/>
  <c r="H488" i="26" s="1"/>
  <c r="O488" i="26" s="1"/>
  <c r="P488" i="26" s="1"/>
  <c r="G461" i="26"/>
  <c r="H461" i="26" s="1"/>
  <c r="O461" i="26" s="1"/>
  <c r="P461" i="26" s="1"/>
  <c r="Q461" i="26" s="1"/>
  <c r="G464" i="26"/>
  <c r="H464" i="26" s="1"/>
  <c r="O464" i="26" s="1"/>
  <c r="P464" i="26" s="1"/>
  <c r="G456" i="26"/>
  <c r="H456" i="26" s="1"/>
  <c r="O456" i="26" s="1"/>
  <c r="G445" i="26"/>
  <c r="H445" i="26" s="1"/>
  <c r="O445" i="26" s="1"/>
  <c r="P445" i="26" s="1"/>
  <c r="Q445" i="26" s="1"/>
  <c r="R445" i="26" s="1"/>
  <c r="G448" i="26"/>
  <c r="H448" i="26" s="1"/>
  <c r="O448" i="26" s="1"/>
  <c r="P448" i="26" s="1"/>
  <c r="Q448" i="26" s="1"/>
  <c r="G485" i="26"/>
  <c r="H485" i="26" s="1"/>
  <c r="O485" i="26" s="1"/>
  <c r="P485" i="26" s="1"/>
  <c r="G479" i="26"/>
  <c r="H479" i="26" s="1"/>
  <c r="O479" i="26" s="1"/>
  <c r="P479" i="26" s="1"/>
  <c r="Q479" i="26" s="1"/>
  <c r="R479" i="26" s="1"/>
  <c r="G472" i="26"/>
  <c r="H472" i="26" s="1"/>
  <c r="O472" i="26" s="1"/>
  <c r="P472" i="26" s="1"/>
  <c r="Q472" i="26" s="1"/>
  <c r="G466" i="26"/>
  <c r="H466" i="26" s="1"/>
  <c r="O466" i="26" s="1"/>
  <c r="P466" i="26" s="1"/>
  <c r="Q466" i="26" s="1"/>
  <c r="G453" i="26"/>
  <c r="H453" i="26" s="1"/>
  <c r="O453" i="26" s="1"/>
  <c r="G489" i="26"/>
  <c r="H489" i="26" s="1"/>
  <c r="O489" i="26" s="1"/>
  <c r="P489" i="26" s="1"/>
  <c r="G484" i="26"/>
  <c r="H484" i="26" s="1"/>
  <c r="O484" i="26" s="1"/>
  <c r="P484" i="26" s="1"/>
  <c r="G481" i="26"/>
  <c r="H481" i="26" s="1"/>
  <c r="O481" i="26" s="1"/>
  <c r="P481" i="26" s="1"/>
  <c r="Q481" i="26" s="1"/>
  <c r="R481" i="26" s="1"/>
  <c r="G476" i="26"/>
  <c r="H476" i="26" s="1"/>
  <c r="O476" i="26" s="1"/>
  <c r="G473" i="26"/>
  <c r="H473" i="26" s="1"/>
  <c r="O473" i="26" s="1"/>
  <c r="P473" i="26" s="1"/>
  <c r="G468" i="26"/>
  <c r="H468" i="26" s="1"/>
  <c r="O468" i="26" s="1"/>
  <c r="P468" i="26" s="1"/>
  <c r="G465" i="26"/>
  <c r="H465" i="26" s="1"/>
  <c r="O465" i="26" s="1"/>
  <c r="G460" i="26"/>
  <c r="H460" i="26" s="1"/>
  <c r="O460" i="26" s="1"/>
  <c r="G457" i="26"/>
  <c r="H457" i="26" s="1"/>
  <c r="O457" i="26" s="1"/>
  <c r="P457" i="26" s="1"/>
  <c r="G452" i="26"/>
  <c r="H452" i="26" s="1"/>
  <c r="O452" i="26" s="1"/>
  <c r="G449" i="26"/>
  <c r="H449" i="26" s="1"/>
  <c r="O449" i="26" s="1"/>
  <c r="P449" i="26" s="1"/>
  <c r="Q449" i="26" s="1"/>
  <c r="R449" i="26" s="1"/>
  <c r="G444" i="26"/>
  <c r="H444" i="26" s="1"/>
  <c r="O444" i="26" s="1"/>
  <c r="P444" i="26" s="1"/>
  <c r="Q444" i="26" s="1"/>
  <c r="R444" i="26" s="1"/>
  <c r="G442" i="26"/>
  <c r="H442" i="26" s="1"/>
  <c r="O442" i="26" s="1"/>
  <c r="P442" i="26" s="1"/>
  <c r="Q442" i="26" s="1"/>
  <c r="G491" i="26"/>
  <c r="H491" i="26" s="1"/>
  <c r="O491" i="26" s="1"/>
  <c r="P491" i="26" s="1"/>
  <c r="G486" i="26"/>
  <c r="H486" i="26" s="1"/>
  <c r="O486" i="26" s="1"/>
  <c r="P486" i="26" s="1"/>
  <c r="G483" i="26"/>
  <c r="H483" i="26" s="1"/>
  <c r="O483" i="26" s="1"/>
  <c r="G478" i="26"/>
  <c r="H478" i="26" s="1"/>
  <c r="O478" i="26" s="1"/>
  <c r="G475" i="26"/>
  <c r="H475" i="26" s="1"/>
  <c r="O475" i="26" s="1"/>
  <c r="P475" i="26" s="1"/>
  <c r="Q475" i="26" s="1"/>
  <c r="G470" i="26"/>
  <c r="H470" i="26" s="1"/>
  <c r="O470" i="26" s="1"/>
  <c r="G467" i="26"/>
  <c r="H467" i="26" s="1"/>
  <c r="O467" i="26" s="1"/>
  <c r="G462" i="26"/>
  <c r="H462" i="26" s="1"/>
  <c r="O462" i="26" s="1"/>
  <c r="P462" i="26" s="1"/>
  <c r="G459" i="26"/>
  <c r="H459" i="26" s="1"/>
  <c r="O459" i="26" s="1"/>
  <c r="P459" i="26" s="1"/>
  <c r="Q459" i="26" s="1"/>
  <c r="G454" i="26"/>
  <c r="H454" i="26" s="1"/>
  <c r="O454" i="26" s="1"/>
  <c r="P454" i="26" s="1"/>
  <c r="G451" i="26"/>
  <c r="H451" i="26" s="1"/>
  <c r="O451" i="26" s="1"/>
  <c r="G446" i="26"/>
  <c r="H446" i="26" s="1"/>
  <c r="O446" i="26" s="1"/>
  <c r="P446" i="26" s="1"/>
  <c r="G439" i="26"/>
  <c r="H439" i="26" s="1"/>
  <c r="O439" i="26" s="1"/>
  <c r="G431" i="26"/>
  <c r="H431" i="26" s="1"/>
  <c r="O431" i="26" s="1"/>
  <c r="P431" i="26" s="1"/>
  <c r="Q431" i="26" s="1"/>
  <c r="R431" i="26" s="1"/>
  <c r="G427" i="26"/>
  <c r="H427" i="26" s="1"/>
  <c r="O427" i="26" s="1"/>
  <c r="G423" i="26"/>
  <c r="H423" i="26" s="1"/>
  <c r="O423" i="26" s="1"/>
  <c r="G419" i="26"/>
  <c r="H419" i="26" s="1"/>
  <c r="O419" i="26" s="1"/>
  <c r="P419" i="26" s="1"/>
  <c r="Q419" i="26" s="1"/>
  <c r="R419" i="26" s="1"/>
  <c r="G415" i="26"/>
  <c r="H415" i="26" s="1"/>
  <c r="O415" i="26" s="1"/>
  <c r="P415" i="26" s="1"/>
  <c r="Q415" i="26" s="1"/>
  <c r="R415" i="26" s="1"/>
  <c r="G434" i="26"/>
  <c r="H434" i="26" s="1"/>
  <c r="O434" i="26" s="1"/>
  <c r="P434" i="26" s="1"/>
  <c r="G430" i="26"/>
  <c r="H430" i="26" s="1"/>
  <c r="O430" i="26" s="1"/>
  <c r="P430" i="26" s="1"/>
  <c r="G422" i="26"/>
  <c r="H422" i="26" s="1"/>
  <c r="O422" i="26" s="1"/>
  <c r="P422" i="26" s="1"/>
  <c r="G418" i="26"/>
  <c r="H418" i="26" s="1"/>
  <c r="O418" i="26" s="1"/>
  <c r="P418" i="26" s="1"/>
  <c r="G410" i="26"/>
  <c r="H410" i="26" s="1"/>
  <c r="O410" i="26" s="1"/>
  <c r="P410" i="26" s="1"/>
  <c r="G437" i="26"/>
  <c r="H437" i="26" s="1"/>
  <c r="O437" i="26" s="1"/>
  <c r="P437" i="26" s="1"/>
  <c r="G433" i="26"/>
  <c r="H433" i="26" s="1"/>
  <c r="O433" i="26" s="1"/>
  <c r="P433" i="26" s="1"/>
  <c r="Q433" i="26" s="1"/>
  <c r="G429" i="26"/>
  <c r="H429" i="26" s="1"/>
  <c r="O429" i="26" s="1"/>
  <c r="P429" i="26" s="1"/>
  <c r="G425" i="26"/>
  <c r="H425" i="26" s="1"/>
  <c r="O425" i="26" s="1"/>
  <c r="P425" i="26" s="1"/>
  <c r="Q425" i="26" s="1"/>
  <c r="G421" i="26"/>
  <c r="H421" i="26" s="1"/>
  <c r="O421" i="26" s="1"/>
  <c r="P421" i="26" s="1"/>
  <c r="Q421" i="26" s="1"/>
  <c r="G417" i="26"/>
  <c r="H417" i="26" s="1"/>
  <c r="O417" i="26" s="1"/>
  <c r="P417" i="26" s="1"/>
  <c r="G413" i="26"/>
  <c r="H413" i="26" s="1"/>
  <c r="O413" i="26" s="1"/>
  <c r="P413" i="26" s="1"/>
  <c r="Q413" i="26" s="1"/>
  <c r="G409" i="26"/>
  <c r="H409" i="26" s="1"/>
  <c r="O409" i="26" s="1"/>
  <c r="P409" i="26" s="1"/>
  <c r="Q409" i="26" s="1"/>
  <c r="G435" i="26"/>
  <c r="H435" i="26" s="1"/>
  <c r="O435" i="26" s="1"/>
  <c r="P435" i="26" s="1"/>
  <c r="Q435" i="26" s="1"/>
  <c r="R435" i="26" s="1"/>
  <c r="G407" i="26"/>
  <c r="H407" i="26" s="1"/>
  <c r="O407" i="26" s="1"/>
  <c r="G436" i="26"/>
  <c r="H436" i="26" s="1"/>
  <c r="O436" i="26" s="1"/>
  <c r="G428" i="26"/>
  <c r="H428" i="26" s="1"/>
  <c r="O428" i="26" s="1"/>
  <c r="G424" i="26"/>
  <c r="H424" i="26" s="1"/>
  <c r="O424" i="26" s="1"/>
  <c r="G420" i="26"/>
  <c r="H420" i="26" s="1"/>
  <c r="O420" i="26" s="1"/>
  <c r="G416" i="26"/>
  <c r="H416" i="26" s="1"/>
  <c r="O416" i="26" s="1"/>
  <c r="G412" i="26"/>
  <c r="H412" i="26" s="1"/>
  <c r="O412" i="26" s="1"/>
  <c r="G397" i="26"/>
  <c r="H397" i="26" s="1"/>
  <c r="O397" i="26" s="1"/>
  <c r="G384" i="26"/>
  <c r="H384" i="26" s="1"/>
  <c r="G354" i="26"/>
  <c r="H354" i="26" s="1"/>
  <c r="G402" i="26"/>
  <c r="H402" i="26" s="1"/>
  <c r="O402" i="26" s="1"/>
  <c r="G389" i="26"/>
  <c r="H389" i="26" s="1"/>
  <c r="O389" i="26" s="1"/>
  <c r="G400" i="26"/>
  <c r="H400" i="26" s="1"/>
  <c r="G394" i="26"/>
  <c r="H394" i="26" s="1"/>
  <c r="G381" i="26"/>
  <c r="H381" i="26" s="1"/>
  <c r="O381" i="26" s="1"/>
  <c r="G375" i="26"/>
  <c r="H375" i="26" s="1"/>
  <c r="G391" i="26"/>
  <c r="H391" i="26" s="1"/>
  <c r="G378" i="26"/>
  <c r="H378" i="26" s="1"/>
  <c r="O378" i="26" s="1"/>
  <c r="G383" i="26"/>
  <c r="H383" i="26" s="1"/>
  <c r="G365" i="26"/>
  <c r="H365" i="26" s="1"/>
  <c r="G399" i="26"/>
  <c r="H399" i="26" s="1"/>
  <c r="G392" i="26"/>
  <c r="H392" i="26" s="1"/>
  <c r="G386" i="26"/>
  <c r="H386" i="26" s="1"/>
  <c r="O386" i="26" s="1"/>
  <c r="G373" i="26"/>
  <c r="H373" i="26" s="1"/>
  <c r="O373" i="26" s="1"/>
  <c r="G357" i="26"/>
  <c r="H357" i="26" s="1"/>
  <c r="O357" i="26" s="1"/>
  <c r="G404" i="26"/>
  <c r="H404" i="26" s="1"/>
  <c r="O404" i="26" s="1"/>
  <c r="G401" i="26"/>
  <c r="H401" i="26" s="1"/>
  <c r="G396" i="26"/>
  <c r="H396" i="26" s="1"/>
  <c r="G393" i="26"/>
  <c r="H393" i="26" s="1"/>
  <c r="O393" i="26" s="1"/>
  <c r="G388" i="26"/>
  <c r="H388" i="26" s="1"/>
  <c r="G385" i="26"/>
  <c r="H385" i="26" s="1"/>
  <c r="G380" i="26"/>
  <c r="H380" i="26" s="1"/>
  <c r="G377" i="26"/>
  <c r="H377" i="26" s="1"/>
  <c r="G372" i="26"/>
  <c r="H372" i="26" s="1"/>
  <c r="G369" i="26"/>
  <c r="H369" i="26" s="1"/>
  <c r="O369" i="26" s="1"/>
  <c r="G364" i="26"/>
  <c r="H364" i="26" s="1"/>
  <c r="G361" i="26"/>
  <c r="H361" i="26" s="1"/>
  <c r="O361" i="26" s="1"/>
  <c r="P361" i="26" s="1"/>
  <c r="Q361" i="26" s="1"/>
  <c r="R361" i="26" s="1"/>
  <c r="G356" i="26"/>
  <c r="H356" i="26" s="1"/>
  <c r="G403" i="26"/>
  <c r="H403" i="26" s="1"/>
  <c r="G398" i="26"/>
  <c r="H398" i="26" s="1"/>
  <c r="O398" i="26" s="1"/>
  <c r="G395" i="26"/>
  <c r="H395" i="26" s="1"/>
  <c r="G387" i="26"/>
  <c r="H387" i="26" s="1"/>
  <c r="G382" i="26"/>
  <c r="H382" i="26" s="1"/>
  <c r="O382" i="26" s="1"/>
  <c r="G379" i="26"/>
  <c r="H379" i="26" s="1"/>
  <c r="G374" i="26"/>
  <c r="H374" i="26" s="1"/>
  <c r="G371" i="26"/>
  <c r="H371" i="26" s="1"/>
  <c r="G366" i="26"/>
  <c r="H366" i="26" s="1"/>
  <c r="O366" i="26" s="1"/>
  <c r="G363" i="26"/>
  <c r="H363" i="26" s="1"/>
  <c r="G358" i="26"/>
  <c r="H358" i="26" s="1"/>
  <c r="O358" i="26" s="1"/>
  <c r="G355" i="26"/>
  <c r="H355" i="26" s="1"/>
  <c r="G370" i="26"/>
  <c r="H370" i="26" s="1"/>
  <c r="G367" i="26"/>
  <c r="H367" i="26" s="1"/>
  <c r="G362" i="26"/>
  <c r="H362" i="26" s="1"/>
  <c r="O362" i="26" s="1"/>
  <c r="G240" i="26"/>
  <c r="H240" i="26" s="1"/>
  <c r="O240" i="26" s="1"/>
  <c r="P240" i="26" s="1"/>
  <c r="Q240" i="26" s="1"/>
  <c r="R240" i="26" s="1"/>
  <c r="G243" i="26"/>
  <c r="H243" i="26" s="1"/>
  <c r="O243" i="26" s="1"/>
  <c r="P243" i="26" s="1"/>
  <c r="Q243" i="26" s="1"/>
  <c r="R243" i="26" s="1"/>
  <c r="G249" i="26"/>
  <c r="H249" i="26" s="1"/>
  <c r="O249" i="26" s="1"/>
  <c r="G252" i="26"/>
  <c r="H252" i="26" s="1"/>
  <c r="O252" i="26" s="1"/>
  <c r="P252" i="26" s="1"/>
  <c r="Q252" i="26" s="1"/>
  <c r="R252" i="26" s="1"/>
  <c r="G257" i="26"/>
  <c r="H257" i="26" s="1"/>
  <c r="O257" i="26" s="1"/>
  <c r="P257" i="26" s="1"/>
  <c r="Q257" i="26" s="1"/>
  <c r="R257" i="26" s="1"/>
  <c r="G260" i="26"/>
  <c r="H260" i="26" s="1"/>
  <c r="O260" i="26" s="1"/>
  <c r="P260" i="26" s="1"/>
  <c r="Q260" i="26" s="1"/>
  <c r="R260" i="26" s="1"/>
  <c r="G265" i="26"/>
  <c r="H265" i="26" s="1"/>
  <c r="O265" i="26" s="1"/>
  <c r="P265" i="26" s="1"/>
  <c r="Q265" i="26" s="1"/>
  <c r="R265" i="26" s="1"/>
  <c r="G268" i="26"/>
  <c r="H268" i="26" s="1"/>
  <c r="O268" i="26" s="1"/>
  <c r="P268" i="26" s="1"/>
  <c r="G273" i="26"/>
  <c r="H273" i="26" s="1"/>
  <c r="O273" i="26" s="1"/>
  <c r="G276" i="26"/>
  <c r="H276" i="26" s="1"/>
  <c r="O276" i="26" s="1"/>
  <c r="P276" i="26" s="1"/>
  <c r="Q276" i="26" s="1"/>
  <c r="G281" i="26"/>
  <c r="H281" i="26" s="1"/>
  <c r="O281" i="26" s="1"/>
  <c r="P281" i="26" s="1"/>
  <c r="G284" i="26"/>
  <c r="H284" i="26" s="1"/>
  <c r="O284" i="26" s="1"/>
  <c r="P284" i="26" s="1"/>
  <c r="Q284" i="26" s="1"/>
  <c r="R284" i="26" s="1"/>
  <c r="G289" i="26"/>
  <c r="H289" i="26" s="1"/>
  <c r="O289" i="26" s="1"/>
  <c r="G292" i="26"/>
  <c r="H292" i="26" s="1"/>
  <c r="O292" i="26" s="1"/>
  <c r="P292" i="26" s="1"/>
  <c r="Q292" i="26" s="1"/>
  <c r="R292" i="26" s="1"/>
  <c r="G238" i="26"/>
  <c r="H238" i="26" s="1"/>
  <c r="O238" i="26" s="1"/>
  <c r="P238" i="26" s="1"/>
  <c r="G241" i="26"/>
  <c r="H241" i="26" s="1"/>
  <c r="O241" i="26" s="1"/>
  <c r="G250" i="26"/>
  <c r="H250" i="26" s="1"/>
  <c r="O250" i="26" s="1"/>
  <c r="P250" i="26" s="1"/>
  <c r="Q250" i="26" s="1"/>
  <c r="G255" i="26"/>
  <c r="H255" i="26" s="1"/>
  <c r="O255" i="26" s="1"/>
  <c r="P255" i="26" s="1"/>
  <c r="G258" i="26"/>
  <c r="H258" i="26" s="1"/>
  <c r="O258" i="26" s="1"/>
  <c r="P258" i="26" s="1"/>
  <c r="G263" i="26"/>
  <c r="H263" i="26" s="1"/>
  <c r="O263" i="26" s="1"/>
  <c r="P263" i="26" s="1"/>
  <c r="Q263" i="26" s="1"/>
  <c r="G266" i="26"/>
  <c r="H266" i="26" s="1"/>
  <c r="O266" i="26" s="1"/>
  <c r="P266" i="26" s="1"/>
  <c r="G271" i="26"/>
  <c r="H271" i="26" s="1"/>
  <c r="O271" i="26" s="1"/>
  <c r="P271" i="26" s="1"/>
  <c r="G279" i="26"/>
  <c r="H279" i="26" s="1"/>
  <c r="O279" i="26" s="1"/>
  <c r="P279" i="26" s="1"/>
  <c r="G282" i="26"/>
  <c r="H282" i="26" s="1"/>
  <c r="O282" i="26" s="1"/>
  <c r="P282" i="26" s="1"/>
  <c r="Q282" i="26" s="1"/>
  <c r="R282" i="26" s="1"/>
  <c r="G287" i="26"/>
  <c r="H287" i="26" s="1"/>
  <c r="O287" i="26" s="1"/>
  <c r="P287" i="26" s="1"/>
  <c r="G290" i="26"/>
  <c r="H290" i="26" s="1"/>
  <c r="O290" i="26" s="1"/>
  <c r="G295" i="26"/>
  <c r="H295" i="26" s="1"/>
  <c r="O295" i="26" s="1"/>
  <c r="P295" i="26" s="1"/>
  <c r="Q295" i="26" s="1"/>
  <c r="G239" i="26"/>
  <c r="H239" i="26" s="1"/>
  <c r="O239" i="26" s="1"/>
  <c r="P239" i="26" s="1"/>
  <c r="Q239" i="26" s="1"/>
  <c r="R239" i="26" s="1"/>
  <c r="G244" i="26"/>
  <c r="H244" i="26" s="1"/>
  <c r="O244" i="26" s="1"/>
  <c r="P244" i="26" s="1"/>
  <c r="Q244" i="26" s="1"/>
  <c r="R244" i="26" s="1"/>
  <c r="G248" i="26"/>
  <c r="H248" i="26" s="1"/>
  <c r="O248" i="26" s="1"/>
  <c r="P248" i="26" s="1"/>
  <c r="Q248" i="26" s="1"/>
  <c r="R248" i="26" s="1"/>
  <c r="G256" i="26"/>
  <c r="H256" i="26" s="1"/>
  <c r="O256" i="26" s="1"/>
  <c r="P256" i="26" s="1"/>
  <c r="Q256" i="26" s="1"/>
  <c r="R256" i="26" s="1"/>
  <c r="G264" i="26"/>
  <c r="H264" i="26" s="1"/>
  <c r="O264" i="26" s="1"/>
  <c r="P264" i="26" s="1"/>
  <c r="Q264" i="26" s="1"/>
  <c r="R264" i="26" s="1"/>
  <c r="G269" i="26"/>
  <c r="H269" i="26" s="1"/>
  <c r="O269" i="26" s="1"/>
  <c r="G272" i="26"/>
  <c r="H272" i="26" s="1"/>
  <c r="O272" i="26" s="1"/>
  <c r="P272" i="26" s="1"/>
  <c r="Q272" i="26" s="1"/>
  <c r="G277" i="26"/>
  <c r="H277" i="26" s="1"/>
  <c r="O277" i="26" s="1"/>
  <c r="G280" i="26"/>
  <c r="H280" i="26" s="1"/>
  <c r="O280" i="26" s="1"/>
  <c r="P280" i="26" s="1"/>
  <c r="G285" i="26"/>
  <c r="H285" i="26" s="1"/>
  <c r="O285" i="26" s="1"/>
  <c r="P285" i="26" s="1"/>
  <c r="Q285" i="26" s="1"/>
  <c r="R285" i="26" s="1"/>
  <c r="G237" i="26"/>
  <c r="H237" i="26" s="1"/>
  <c r="G242" i="26"/>
  <c r="H242" i="26" s="1"/>
  <c r="O242" i="26" s="1"/>
  <c r="P242" i="26" s="1"/>
  <c r="G251" i="26"/>
  <c r="H251" i="26" s="1"/>
  <c r="O251" i="26" s="1"/>
  <c r="P251" i="26" s="1"/>
  <c r="G254" i="26"/>
  <c r="H254" i="26" s="1"/>
  <c r="O254" i="26" s="1"/>
  <c r="P254" i="26" s="1"/>
  <c r="G259" i="26"/>
  <c r="H259" i="26" s="1"/>
  <c r="O259" i="26" s="1"/>
  <c r="P259" i="26" s="1"/>
  <c r="G262" i="26"/>
  <c r="H262" i="26" s="1"/>
  <c r="O262" i="26" s="1"/>
  <c r="P262" i="26" s="1"/>
  <c r="G267" i="26"/>
  <c r="H267" i="26" s="1"/>
  <c r="O267" i="26" s="1"/>
  <c r="P267" i="26" s="1"/>
  <c r="G270" i="26"/>
  <c r="H270" i="26" s="1"/>
  <c r="O270" i="26" s="1"/>
  <c r="G275" i="26"/>
  <c r="H275" i="26" s="1"/>
  <c r="O275" i="26" s="1"/>
  <c r="P275" i="26" s="1"/>
  <c r="G278" i="26"/>
  <c r="H278" i="26" s="1"/>
  <c r="O278" i="26" s="1"/>
  <c r="G283" i="26"/>
  <c r="H283" i="26" s="1"/>
  <c r="O283" i="26" s="1"/>
  <c r="P283" i="26" s="1"/>
  <c r="Q283" i="26" s="1"/>
  <c r="R283" i="26" s="1"/>
  <c r="G286" i="26"/>
  <c r="H286" i="26" s="1"/>
  <c r="O286" i="26" s="1"/>
  <c r="G291" i="26"/>
  <c r="H291" i="26" s="1"/>
  <c r="O291" i="26" s="1"/>
  <c r="P291" i="26" s="1"/>
  <c r="Q291" i="26" s="1"/>
  <c r="G228" i="26"/>
  <c r="G224" i="26"/>
  <c r="G220" i="26"/>
  <c r="G216" i="26"/>
  <c r="G212" i="26"/>
  <c r="G208" i="26"/>
  <c r="G204" i="26"/>
  <c r="G200" i="26"/>
  <c r="G196" i="26"/>
  <c r="G192" i="26"/>
  <c r="G188" i="26"/>
  <c r="G184" i="26"/>
  <c r="G180" i="26"/>
  <c r="G234" i="26"/>
  <c r="G230" i="26"/>
  <c r="G222" i="26"/>
  <c r="G218" i="26"/>
  <c r="G214" i="26"/>
  <c r="G210" i="26"/>
  <c r="G206" i="26"/>
  <c r="G202" i="26"/>
  <c r="G198" i="26"/>
  <c r="G194" i="26"/>
  <c r="G190" i="26"/>
  <c r="G182" i="26"/>
  <c r="G233" i="26"/>
  <c r="G229" i="26"/>
  <c r="G225" i="26"/>
  <c r="G221" i="26"/>
  <c r="G217" i="26"/>
  <c r="G209" i="26"/>
  <c r="G205" i="26"/>
  <c r="G197" i="26"/>
  <c r="G189" i="26"/>
  <c r="G185" i="26"/>
  <c r="G181" i="26"/>
  <c r="G178" i="26"/>
  <c r="H178" i="26" s="1"/>
  <c r="O178" i="26" s="1"/>
  <c r="P178" i="26" s="1"/>
  <c r="Q178" i="26" s="1"/>
  <c r="G231" i="26"/>
  <c r="G227" i="26"/>
  <c r="G223" i="26"/>
  <c r="G219" i="26"/>
  <c r="G215" i="26"/>
  <c r="G211" i="26"/>
  <c r="G207" i="26"/>
  <c r="G203" i="26"/>
  <c r="G199" i="26"/>
  <c r="G195" i="26"/>
  <c r="G191" i="26"/>
  <c r="G187" i="26"/>
  <c r="G183" i="26"/>
  <c r="R178" i="26" l="1"/>
  <c r="R448" i="26"/>
  <c r="Q489" i="26"/>
  <c r="R489" i="26" s="1"/>
  <c r="P774" i="26"/>
  <c r="Q774" i="26" s="1"/>
  <c r="R774" i="26" s="1"/>
  <c r="Q795" i="26"/>
  <c r="R795" i="26" s="1"/>
  <c r="P779" i="26"/>
  <c r="Q779" i="26" s="1"/>
  <c r="R779" i="26" s="1"/>
  <c r="Q800" i="26"/>
  <c r="R800" i="26" s="1"/>
  <c r="P739" i="26"/>
  <c r="Q739" i="26" s="1"/>
  <c r="R739" i="26" s="1"/>
  <c r="Q454" i="26"/>
  <c r="R454" i="26" s="1"/>
  <c r="Q446" i="26"/>
  <c r="R446" i="26" s="1"/>
  <c r="P465" i="26"/>
  <c r="Q465" i="26" s="1"/>
  <c r="R465" i="26" s="1"/>
  <c r="P471" i="26"/>
  <c r="Q471" i="26" s="1"/>
  <c r="R471" i="26" s="1"/>
  <c r="Q749" i="26"/>
  <c r="R749" i="26" s="1"/>
  <c r="Q771" i="26"/>
  <c r="R771" i="26" s="1"/>
  <c r="Q783" i="26"/>
  <c r="R783" i="26" s="1"/>
  <c r="Q468" i="26"/>
  <c r="R468" i="26" s="1"/>
  <c r="P470" i="26"/>
  <c r="Q470" i="26" s="1"/>
  <c r="R470" i="26" s="1"/>
  <c r="Q484" i="26"/>
  <c r="R484" i="26" s="1"/>
  <c r="Q794" i="26"/>
  <c r="R794" i="26" s="1"/>
  <c r="Q462" i="26"/>
  <c r="R462" i="26" s="1"/>
  <c r="Q457" i="26"/>
  <c r="R457" i="26" s="1"/>
  <c r="Q473" i="26"/>
  <c r="R473" i="26" s="1"/>
  <c r="Q725" i="26"/>
  <c r="R725" i="26" s="1"/>
  <c r="P478" i="26"/>
  <c r="Q478" i="26" s="1"/>
  <c r="R478" i="26" s="1"/>
  <c r="P452" i="26"/>
  <c r="Q452" i="26" s="1"/>
  <c r="R452" i="26" s="1"/>
  <c r="Q488" i="26"/>
  <c r="R488" i="26" s="1"/>
  <c r="P451" i="26"/>
  <c r="Q451" i="26" s="1"/>
  <c r="R451" i="26" s="1"/>
  <c r="P476" i="26"/>
  <c r="Q476" i="26" s="1"/>
  <c r="R476" i="26" s="1"/>
  <c r="P456" i="26"/>
  <c r="Q456" i="26" s="1"/>
  <c r="R456" i="26" s="1"/>
  <c r="P467" i="26"/>
  <c r="Q467" i="26" s="1"/>
  <c r="R467" i="26" s="1"/>
  <c r="P483" i="26"/>
  <c r="Q483" i="26" s="1"/>
  <c r="R483" i="26" s="1"/>
  <c r="P460" i="26"/>
  <c r="Q460" i="26" s="1"/>
  <c r="R460" i="26" s="1"/>
  <c r="P469" i="26"/>
  <c r="Q469" i="26" s="1"/>
  <c r="R469" i="26" s="1"/>
  <c r="P714" i="26"/>
  <c r="Q714" i="26" s="1"/>
  <c r="R714" i="26" s="1"/>
  <c r="P730" i="26"/>
  <c r="Q730" i="26" s="1"/>
  <c r="R730" i="26" s="1"/>
  <c r="P726" i="26"/>
  <c r="Q726" i="26" s="1"/>
  <c r="R726" i="26" s="1"/>
  <c r="P732" i="26"/>
  <c r="Q732" i="26" s="1"/>
  <c r="R732" i="26" s="1"/>
  <c r="N705" i="26"/>
  <c r="P707" i="26"/>
  <c r="Q707" i="26" s="1"/>
  <c r="R707" i="26" s="1"/>
  <c r="Q775" i="26"/>
  <c r="R775" i="26" s="1"/>
  <c r="Q758" i="26"/>
  <c r="R758" i="26" s="1"/>
  <c r="Q798" i="26"/>
  <c r="R798" i="26" s="1"/>
  <c r="P719" i="26"/>
  <c r="Q719" i="26" s="1"/>
  <c r="R719" i="26" s="1"/>
  <c r="P723" i="26"/>
  <c r="Q723" i="26" s="1"/>
  <c r="R723" i="26" s="1"/>
  <c r="P742" i="26"/>
  <c r="Q742" i="26" s="1"/>
  <c r="R742" i="26" s="1"/>
  <c r="P803" i="26"/>
  <c r="Q803" i="26" s="1"/>
  <c r="R803" i="26" s="1"/>
  <c r="Q464" i="26"/>
  <c r="R464" i="26" s="1"/>
  <c r="Q485" i="26"/>
  <c r="R485" i="26" s="1"/>
  <c r="Q751" i="26"/>
  <c r="R751" i="26" s="1"/>
  <c r="Q755" i="26"/>
  <c r="R755" i="26" s="1"/>
  <c r="P759" i="26"/>
  <c r="Q759" i="26" s="1"/>
  <c r="R759" i="26" s="1"/>
  <c r="P722" i="26"/>
  <c r="Q722" i="26" s="1"/>
  <c r="R722" i="26" s="1"/>
  <c r="P738" i="26"/>
  <c r="Q738" i="26" s="1"/>
  <c r="R738" i="26" s="1"/>
  <c r="P708" i="26"/>
  <c r="Q708" i="26" s="1"/>
  <c r="R708" i="26" s="1"/>
  <c r="P724" i="26"/>
  <c r="Q724" i="26" s="1"/>
  <c r="R724" i="26" s="1"/>
  <c r="P740" i="26"/>
  <c r="Q740" i="26" s="1"/>
  <c r="R740" i="26" s="1"/>
  <c r="P712" i="26"/>
  <c r="Q712" i="26" s="1"/>
  <c r="R712" i="26" s="1"/>
  <c r="P744" i="26"/>
  <c r="Q744" i="26" s="1"/>
  <c r="R744" i="26" s="1"/>
  <c r="P745" i="26"/>
  <c r="Q745" i="26" s="1"/>
  <c r="R745" i="26" s="1"/>
  <c r="N752" i="26"/>
  <c r="Q450" i="26"/>
  <c r="R450" i="26" s="1"/>
  <c r="P453" i="26"/>
  <c r="Q453" i="26" s="1"/>
  <c r="R453" i="26" s="1"/>
  <c r="Q486" i="26"/>
  <c r="R486" i="26" s="1"/>
  <c r="Q490" i="26"/>
  <c r="R490" i="26" s="1"/>
  <c r="Q733" i="26"/>
  <c r="R733" i="26" s="1"/>
  <c r="Q747" i="26"/>
  <c r="R747" i="26" s="1"/>
  <c r="Q757" i="26"/>
  <c r="R757" i="26" s="1"/>
  <c r="Q761" i="26"/>
  <c r="R761" i="26" s="1"/>
  <c r="Q765" i="26"/>
  <c r="R765" i="26" s="1"/>
  <c r="Q773" i="26"/>
  <c r="R773" i="26" s="1"/>
  <c r="Q781" i="26"/>
  <c r="R781" i="26" s="1"/>
  <c r="Q760" i="26"/>
  <c r="R760" i="26" s="1"/>
  <c r="Q764" i="26"/>
  <c r="R764" i="26" s="1"/>
  <c r="Q768" i="26"/>
  <c r="R768" i="26" s="1"/>
  <c r="Q772" i="26"/>
  <c r="R772" i="26" s="1"/>
  <c r="Q776" i="26"/>
  <c r="R776" i="26" s="1"/>
  <c r="Q780" i="26"/>
  <c r="R780" i="26" s="1"/>
  <c r="Q796" i="26"/>
  <c r="R796" i="26" s="1"/>
  <c r="P716" i="26"/>
  <c r="Q716" i="26" s="1"/>
  <c r="R716" i="26" s="1"/>
  <c r="P748" i="26"/>
  <c r="Q748" i="26" s="1"/>
  <c r="R748" i="26" s="1"/>
  <c r="P734" i="26"/>
  <c r="Q734" i="26" s="1"/>
  <c r="R734" i="26" s="1"/>
  <c r="P482" i="26"/>
  <c r="Q482" i="26" s="1"/>
  <c r="R482" i="26" s="1"/>
  <c r="P737" i="26"/>
  <c r="Q737" i="26" s="1"/>
  <c r="R737" i="26" s="1"/>
  <c r="Q437" i="26"/>
  <c r="R437" i="26" s="1"/>
  <c r="N440" i="26"/>
  <c r="P741" i="26"/>
  <c r="Q741" i="26" s="1"/>
  <c r="R741" i="26" s="1"/>
  <c r="P711" i="26"/>
  <c r="Q711" i="26" s="1"/>
  <c r="R711" i="26" s="1"/>
  <c r="P715" i="26"/>
  <c r="Q715" i="26" s="1"/>
  <c r="R715" i="26" s="1"/>
  <c r="P802" i="26"/>
  <c r="Q802" i="26" s="1"/>
  <c r="R802" i="26" s="1"/>
  <c r="P805" i="26"/>
  <c r="Q805" i="26" s="1"/>
  <c r="R805" i="26" s="1"/>
  <c r="Q487" i="26"/>
  <c r="R487" i="26" s="1"/>
  <c r="Q491" i="26"/>
  <c r="R491" i="26" s="1"/>
  <c r="Q793" i="26"/>
  <c r="R793" i="26" s="1"/>
  <c r="R799" i="26"/>
  <c r="R766" i="26"/>
  <c r="R763" i="26"/>
  <c r="R770" i="26"/>
  <c r="R782" i="26"/>
  <c r="R756" i="26"/>
  <c r="R767" i="26"/>
  <c r="R778" i="26"/>
  <c r="R754" i="26"/>
  <c r="R735" i="26"/>
  <c r="R729" i="26"/>
  <c r="R727" i="26"/>
  <c r="R731" i="26"/>
  <c r="R743" i="26"/>
  <c r="R458" i="26"/>
  <c r="R466" i="26"/>
  <c r="R474" i="26"/>
  <c r="R461" i="26"/>
  <c r="R472" i="26"/>
  <c r="R459" i="26"/>
  <c r="R475" i="26"/>
  <c r="R443" i="26"/>
  <c r="R442" i="26"/>
  <c r="O374" i="26"/>
  <c r="P374" i="26" s="1"/>
  <c r="Q374" i="26" s="1"/>
  <c r="R374" i="26" s="1"/>
  <c r="O372" i="26"/>
  <c r="O392" i="26"/>
  <c r="P392" i="26" s="1"/>
  <c r="Q392" i="26" s="1"/>
  <c r="R392" i="26" s="1"/>
  <c r="P436" i="26"/>
  <c r="Q436" i="26" s="1"/>
  <c r="R436" i="26" s="1"/>
  <c r="Q430" i="26"/>
  <c r="R430" i="26" s="1"/>
  <c r="O367" i="26"/>
  <c r="P367" i="26" s="1"/>
  <c r="Q367" i="26" s="1"/>
  <c r="R367" i="26" s="1"/>
  <c r="O363" i="26"/>
  <c r="P363" i="26" s="1"/>
  <c r="Q363" i="26" s="1"/>
  <c r="R363" i="26" s="1"/>
  <c r="O379" i="26"/>
  <c r="P379" i="26" s="1"/>
  <c r="Q379" i="26" s="1"/>
  <c r="R379" i="26" s="1"/>
  <c r="O395" i="26"/>
  <c r="P395" i="26" s="1"/>
  <c r="Q395" i="26" s="1"/>
  <c r="R395" i="26" s="1"/>
  <c r="O377" i="26"/>
  <c r="P377" i="26" s="1"/>
  <c r="Q377" i="26" s="1"/>
  <c r="R377" i="26" s="1"/>
  <c r="O399" i="26"/>
  <c r="P399" i="26" s="1"/>
  <c r="Q399" i="26" s="1"/>
  <c r="R399" i="26" s="1"/>
  <c r="P424" i="26"/>
  <c r="Q424" i="26" s="1"/>
  <c r="R424" i="26" s="1"/>
  <c r="P407" i="26"/>
  <c r="Q407" i="26" s="1"/>
  <c r="R407" i="26" s="1"/>
  <c r="N405" i="26"/>
  <c r="P439" i="26"/>
  <c r="Q439" i="26" s="1"/>
  <c r="R439" i="26" s="1"/>
  <c r="Q417" i="26"/>
  <c r="R417" i="26" s="1"/>
  <c r="Q422" i="26"/>
  <c r="R422" i="26" s="1"/>
  <c r="O384" i="26"/>
  <c r="P384" i="26" s="1"/>
  <c r="Q384" i="26" s="1"/>
  <c r="R384" i="26" s="1"/>
  <c r="O370" i="26"/>
  <c r="P370" i="26" s="1"/>
  <c r="Q370" i="26" s="1"/>
  <c r="R370" i="26" s="1"/>
  <c r="O364" i="26"/>
  <c r="P364" i="26" s="1"/>
  <c r="Q364" i="26" s="1"/>
  <c r="R364" i="26" s="1"/>
  <c r="O380" i="26"/>
  <c r="P380" i="26" s="1"/>
  <c r="Q380" i="26" s="1"/>
  <c r="R380" i="26" s="1"/>
  <c r="O396" i="26"/>
  <c r="P396" i="26" s="1"/>
  <c r="Q396" i="26" s="1"/>
  <c r="R396" i="26" s="1"/>
  <c r="O365" i="26"/>
  <c r="P365" i="26" s="1"/>
  <c r="Q365" i="26" s="1"/>
  <c r="R365" i="26" s="1"/>
  <c r="O391" i="26"/>
  <c r="P391" i="26" s="1"/>
  <c r="Q391" i="26" s="1"/>
  <c r="R391" i="26" s="1"/>
  <c r="O394" i="26"/>
  <c r="P394" i="26" s="1"/>
  <c r="Q394" i="26" s="1"/>
  <c r="R394" i="26" s="1"/>
  <c r="P412" i="26"/>
  <c r="Q412" i="26" s="1"/>
  <c r="R412" i="26" s="1"/>
  <c r="P428" i="26"/>
  <c r="Q428" i="26" s="1"/>
  <c r="R428" i="26" s="1"/>
  <c r="P423" i="26"/>
  <c r="Q423" i="26" s="1"/>
  <c r="R423" i="26" s="1"/>
  <c r="Q434" i="26"/>
  <c r="R434" i="26" s="1"/>
  <c r="Q429" i="26"/>
  <c r="R429" i="26" s="1"/>
  <c r="O356" i="26"/>
  <c r="P356" i="26" s="1"/>
  <c r="Q356" i="26" s="1"/>
  <c r="R356" i="26" s="1"/>
  <c r="O388" i="26"/>
  <c r="P388" i="26" s="1"/>
  <c r="Q388" i="26" s="1"/>
  <c r="R388" i="26" s="1"/>
  <c r="O375" i="26"/>
  <c r="P375" i="26" s="1"/>
  <c r="Q375" i="26" s="1"/>
  <c r="R375" i="26" s="1"/>
  <c r="P420" i="26"/>
  <c r="Q420" i="26" s="1"/>
  <c r="R420" i="26" s="1"/>
  <c r="O355" i="26"/>
  <c r="P355" i="26" s="1"/>
  <c r="Q355" i="26" s="1"/>
  <c r="O371" i="26"/>
  <c r="P371" i="26" s="1"/>
  <c r="Q371" i="26" s="1"/>
  <c r="R371" i="26" s="1"/>
  <c r="O387" i="26"/>
  <c r="P387" i="26" s="1"/>
  <c r="Q387" i="26" s="1"/>
  <c r="R387" i="26" s="1"/>
  <c r="O403" i="26"/>
  <c r="P403" i="26" s="1"/>
  <c r="Q403" i="26" s="1"/>
  <c r="R403" i="26" s="1"/>
  <c r="O385" i="26"/>
  <c r="P385" i="26" s="1"/>
  <c r="Q385" i="26" s="1"/>
  <c r="R385" i="26" s="1"/>
  <c r="O401" i="26"/>
  <c r="P401" i="26" s="1"/>
  <c r="O383" i="26"/>
  <c r="P383" i="26" s="1"/>
  <c r="Q383" i="26" s="1"/>
  <c r="R383" i="26" s="1"/>
  <c r="O400" i="26"/>
  <c r="P400" i="26" s="1"/>
  <c r="Q400" i="26" s="1"/>
  <c r="R400" i="26" s="1"/>
  <c r="P416" i="26"/>
  <c r="Q416" i="26" s="1"/>
  <c r="R416" i="26" s="1"/>
  <c r="P427" i="26"/>
  <c r="Q427" i="26" s="1"/>
  <c r="R427" i="26" s="1"/>
  <c r="Q410" i="26"/>
  <c r="R410" i="26" s="1"/>
  <c r="Q418" i="26"/>
  <c r="R418" i="26" s="1"/>
  <c r="R413" i="26"/>
  <c r="R433" i="26"/>
  <c r="R409" i="26"/>
  <c r="R425" i="26"/>
  <c r="R421" i="26"/>
  <c r="O246" i="26"/>
  <c r="P246" i="26" s="1"/>
  <c r="Q246" i="26" s="1"/>
  <c r="E246" i="26"/>
  <c r="H236" i="26"/>
  <c r="P362" i="26"/>
  <c r="Q362" i="26" s="1"/>
  <c r="R362" i="26" s="1"/>
  <c r="P358" i="26"/>
  <c r="Q358" i="26" s="1"/>
  <c r="R358" i="26" s="1"/>
  <c r="P404" i="26"/>
  <c r="Q404" i="26" s="1"/>
  <c r="R404" i="26" s="1"/>
  <c r="P393" i="26"/>
  <c r="Q393" i="26" s="1"/>
  <c r="R393" i="26" s="1"/>
  <c r="P357" i="26"/>
  <c r="P378" i="26"/>
  <c r="Q378" i="26" s="1"/>
  <c r="R378" i="26" s="1"/>
  <c r="P381" i="26"/>
  <c r="Q381" i="26" s="1"/>
  <c r="R381" i="26" s="1"/>
  <c r="P389" i="26"/>
  <c r="Q389" i="26" s="1"/>
  <c r="R389" i="26" s="1"/>
  <c r="P397" i="26"/>
  <c r="Q397" i="26" s="1"/>
  <c r="R397" i="26" s="1"/>
  <c r="P366" i="26"/>
  <c r="Q366" i="26" s="1"/>
  <c r="R366" i="26" s="1"/>
  <c r="P382" i="26"/>
  <c r="Q382" i="26" s="1"/>
  <c r="R382" i="26" s="1"/>
  <c r="P398" i="26"/>
  <c r="Q398" i="26" s="1"/>
  <c r="R398" i="26" s="1"/>
  <c r="P373" i="26"/>
  <c r="Q373" i="26" s="1"/>
  <c r="R373" i="26" s="1"/>
  <c r="P402" i="26"/>
  <c r="Q402" i="26" s="1"/>
  <c r="R402" i="26" s="1"/>
  <c r="O247" i="26"/>
  <c r="P247" i="26" s="1"/>
  <c r="Q247" i="26" s="1"/>
  <c r="E247" i="26"/>
  <c r="P369" i="26"/>
  <c r="Q369" i="26" s="1"/>
  <c r="R369" i="26" s="1"/>
  <c r="P386" i="26"/>
  <c r="Q386" i="26" s="1"/>
  <c r="R386" i="26" s="1"/>
  <c r="H353" i="26"/>
  <c r="O354" i="26"/>
  <c r="O237" i="26"/>
  <c r="P286" i="26"/>
  <c r="Q286" i="26" s="1"/>
  <c r="R286" i="26" s="1"/>
  <c r="P270" i="26"/>
  <c r="Q270" i="26" s="1"/>
  <c r="R270" i="26" s="1"/>
  <c r="P290" i="26"/>
  <c r="Q290" i="26" s="1"/>
  <c r="R290" i="26" s="1"/>
  <c r="P241" i="26"/>
  <c r="Q241" i="26" s="1"/>
  <c r="R241" i="26" s="1"/>
  <c r="Q267" i="26"/>
  <c r="R267" i="26" s="1"/>
  <c r="Q266" i="26"/>
  <c r="R266" i="26" s="1"/>
  <c r="Q271" i="26"/>
  <c r="R271" i="26" s="1"/>
  <c r="Q279" i="26"/>
  <c r="R279" i="26" s="1"/>
  <c r="Q287" i="26"/>
  <c r="R287" i="26" s="1"/>
  <c r="P277" i="26"/>
  <c r="Q277" i="26" s="1"/>
  <c r="R277" i="26" s="1"/>
  <c r="P249" i="26"/>
  <c r="Q249" i="26" s="1"/>
  <c r="R249" i="26" s="1"/>
  <c r="Q251" i="26"/>
  <c r="R251" i="26" s="1"/>
  <c r="Q254" i="26"/>
  <c r="R254" i="26" s="1"/>
  <c r="Q259" i="26"/>
  <c r="R259" i="26" s="1"/>
  <c r="Q281" i="26"/>
  <c r="R281" i="26" s="1"/>
  <c r="Q280" i="26"/>
  <c r="R280" i="26" s="1"/>
  <c r="P278" i="26"/>
  <c r="Q278" i="26" s="1"/>
  <c r="R278" i="26" s="1"/>
  <c r="Q238" i="26"/>
  <c r="R238" i="26" s="1"/>
  <c r="Q255" i="26"/>
  <c r="R255" i="26" s="1"/>
  <c r="Q258" i="26"/>
  <c r="R258" i="26" s="1"/>
  <c r="Q275" i="26"/>
  <c r="R275" i="26" s="1"/>
  <c r="Q268" i="26"/>
  <c r="R268" i="26" s="1"/>
  <c r="P269" i="26"/>
  <c r="Q269" i="26" s="1"/>
  <c r="R269" i="26" s="1"/>
  <c r="P289" i="26"/>
  <c r="Q289" i="26" s="1"/>
  <c r="R289" i="26" s="1"/>
  <c r="P273" i="26"/>
  <c r="Q273" i="26" s="1"/>
  <c r="R273" i="26" s="1"/>
  <c r="Q242" i="26"/>
  <c r="R242" i="26" s="1"/>
  <c r="Q262" i="26"/>
  <c r="R262" i="26" s="1"/>
  <c r="R250" i="26"/>
  <c r="R272" i="26"/>
  <c r="R263" i="26"/>
  <c r="R291" i="26"/>
  <c r="R276" i="26"/>
  <c r="R295" i="26"/>
  <c r="H753" i="26"/>
  <c r="H706" i="26"/>
  <c r="H441" i="26"/>
  <c r="H406" i="26"/>
  <c r="H182" i="26"/>
  <c r="O182" i="26" s="1"/>
  <c r="H190" i="26"/>
  <c r="O190" i="26" s="1"/>
  <c r="H194" i="26"/>
  <c r="O194" i="26" s="1"/>
  <c r="P194" i="26" s="1"/>
  <c r="Q194" i="26" s="1"/>
  <c r="R194" i="26" s="1"/>
  <c r="H198" i="26"/>
  <c r="O198" i="26" s="1"/>
  <c r="P198" i="26" s="1"/>
  <c r="Q198" i="26" s="1"/>
  <c r="R198" i="26" s="1"/>
  <c r="H202" i="26"/>
  <c r="O202" i="26" s="1"/>
  <c r="P202" i="26" s="1"/>
  <c r="Q202" i="26" s="1"/>
  <c r="R202" i="26" s="1"/>
  <c r="H206" i="26"/>
  <c r="O206" i="26" s="1"/>
  <c r="P206" i="26" s="1"/>
  <c r="Q206" i="26" s="1"/>
  <c r="R206" i="26" s="1"/>
  <c r="H210" i="26"/>
  <c r="O210" i="26" s="1"/>
  <c r="P210" i="26" s="1"/>
  <c r="Q210" i="26" s="1"/>
  <c r="R210" i="26" s="1"/>
  <c r="H214" i="26"/>
  <c r="O214" i="26" s="1"/>
  <c r="P214" i="26" s="1"/>
  <c r="Q214" i="26" s="1"/>
  <c r="R214" i="26" s="1"/>
  <c r="H179" i="26"/>
  <c r="O179" i="26" s="1"/>
  <c r="H180" i="26"/>
  <c r="O180" i="26" s="1"/>
  <c r="H181" i="26"/>
  <c r="O181" i="26" s="1"/>
  <c r="H183" i="26"/>
  <c r="O183" i="26" s="1"/>
  <c r="H184" i="26"/>
  <c r="O184" i="26" s="1"/>
  <c r="H185" i="26"/>
  <c r="O185" i="26" s="1"/>
  <c r="H187" i="26"/>
  <c r="O187" i="26" s="1"/>
  <c r="H188" i="26"/>
  <c r="O188" i="26" s="1"/>
  <c r="H189" i="26"/>
  <c r="O189" i="26" s="1"/>
  <c r="H191" i="26"/>
  <c r="O191" i="26" s="1"/>
  <c r="H192" i="26"/>
  <c r="O192" i="26" s="1"/>
  <c r="H195" i="26"/>
  <c r="O195" i="26" s="1"/>
  <c r="P195" i="26" s="1"/>
  <c r="Q195" i="26" s="1"/>
  <c r="R195" i="26" s="1"/>
  <c r="H196" i="26"/>
  <c r="O196" i="26" s="1"/>
  <c r="P196" i="26" s="1"/>
  <c r="Q196" i="26" s="1"/>
  <c r="R196" i="26" s="1"/>
  <c r="H197" i="26"/>
  <c r="O197" i="26" s="1"/>
  <c r="H199" i="26"/>
  <c r="O199" i="26" s="1"/>
  <c r="P199" i="26" s="1"/>
  <c r="Q199" i="26" s="1"/>
  <c r="R199" i="26" s="1"/>
  <c r="H200" i="26"/>
  <c r="O200" i="26" s="1"/>
  <c r="P200" i="26" s="1"/>
  <c r="Q200" i="26" s="1"/>
  <c r="R200" i="26" s="1"/>
  <c r="H203" i="26"/>
  <c r="O203" i="26" s="1"/>
  <c r="P203" i="26" s="1"/>
  <c r="Q203" i="26" s="1"/>
  <c r="R203" i="26" s="1"/>
  <c r="H204" i="26"/>
  <c r="O204" i="26" s="1"/>
  <c r="H205" i="26"/>
  <c r="O205" i="26" s="1"/>
  <c r="P205" i="26" s="1"/>
  <c r="Q205" i="26" s="1"/>
  <c r="R205" i="26" s="1"/>
  <c r="H207" i="26"/>
  <c r="O207" i="26" s="1"/>
  <c r="P207" i="26" s="1"/>
  <c r="Q207" i="26" s="1"/>
  <c r="R207" i="26" s="1"/>
  <c r="H208" i="26"/>
  <c r="O208" i="26" s="1"/>
  <c r="P208" i="26" s="1"/>
  <c r="Q208" i="26" s="1"/>
  <c r="R208" i="26" s="1"/>
  <c r="H209" i="26"/>
  <c r="O209" i="26" s="1"/>
  <c r="P209" i="26" s="1"/>
  <c r="Q209" i="26" s="1"/>
  <c r="R209" i="26" s="1"/>
  <c r="H211" i="26"/>
  <c r="O211" i="26" s="1"/>
  <c r="P211" i="26" s="1"/>
  <c r="Q211" i="26" s="1"/>
  <c r="R211" i="26" s="1"/>
  <c r="H212" i="26"/>
  <c r="O212" i="26" s="1"/>
  <c r="H215" i="26"/>
  <c r="O215" i="26" s="1"/>
  <c r="P215" i="26" s="1"/>
  <c r="Q215" i="26" s="1"/>
  <c r="R215" i="26" s="1"/>
  <c r="H216" i="26"/>
  <c r="O216" i="26" s="1"/>
  <c r="H217" i="26"/>
  <c r="O217" i="26" s="1"/>
  <c r="P217" i="26" s="1"/>
  <c r="Q217" i="26" s="1"/>
  <c r="R217" i="26" s="1"/>
  <c r="H218" i="26"/>
  <c r="O218" i="26" s="1"/>
  <c r="P218" i="26" s="1"/>
  <c r="Q218" i="26" s="1"/>
  <c r="R218" i="26" s="1"/>
  <c r="H219" i="26"/>
  <c r="O219" i="26" s="1"/>
  <c r="P219" i="26" s="1"/>
  <c r="Q219" i="26" s="1"/>
  <c r="R219" i="26" s="1"/>
  <c r="H220" i="26"/>
  <c r="O220" i="26" s="1"/>
  <c r="H221" i="26"/>
  <c r="O221" i="26" s="1"/>
  <c r="H222" i="26"/>
  <c r="O222" i="26" s="1"/>
  <c r="P222" i="26" s="1"/>
  <c r="Q222" i="26" s="1"/>
  <c r="R222" i="26" s="1"/>
  <c r="H223" i="26"/>
  <c r="O223" i="26" s="1"/>
  <c r="P223" i="26" s="1"/>
  <c r="Q223" i="26" s="1"/>
  <c r="R223" i="26" s="1"/>
  <c r="H224" i="26"/>
  <c r="O224" i="26" s="1"/>
  <c r="P224" i="26" s="1"/>
  <c r="Q224" i="26" s="1"/>
  <c r="R224" i="26" s="1"/>
  <c r="H225" i="26"/>
  <c r="O225" i="26" s="1"/>
  <c r="H227" i="26"/>
  <c r="O227" i="26" s="1"/>
  <c r="H228" i="26"/>
  <c r="O228" i="26" s="1"/>
  <c r="H229" i="26"/>
  <c r="O229" i="26" s="1"/>
  <c r="H230" i="26"/>
  <c r="O230" i="26" s="1"/>
  <c r="H231" i="26"/>
  <c r="O231" i="26" s="1"/>
  <c r="H233" i="26"/>
  <c r="O233" i="26" s="1"/>
  <c r="H234" i="26"/>
  <c r="O234" i="26" s="1"/>
  <c r="D230" i="26"/>
  <c r="D221" i="26"/>
  <c r="D204" i="26"/>
  <c r="D203" i="26"/>
  <c r="R246" i="26" l="1"/>
  <c r="Q401" i="26"/>
  <c r="R401" i="26" s="1"/>
  <c r="P372" i="26"/>
  <c r="Q372" i="26" s="1"/>
  <c r="R372" i="26" s="1"/>
  <c r="P354" i="26"/>
  <c r="Q354" i="26" s="1"/>
  <c r="N352" i="26"/>
  <c r="Q357" i="26"/>
  <c r="R357" i="26" s="1"/>
  <c r="R355" i="26"/>
  <c r="N235" i="26"/>
  <c r="P237" i="26"/>
  <c r="R247" i="26"/>
  <c r="P180" i="26"/>
  <c r="Q180" i="26" s="1"/>
  <c r="R180" i="26" s="1"/>
  <c r="P228" i="26"/>
  <c r="Q228" i="26" s="1"/>
  <c r="R228" i="26" s="1"/>
  <c r="P220" i="26"/>
  <c r="Q220" i="26" s="1"/>
  <c r="R220" i="26" s="1"/>
  <c r="P216" i="26"/>
  <c r="Q216" i="26" s="1"/>
  <c r="R216" i="26" s="1"/>
  <c r="P189" i="26"/>
  <c r="Q189" i="26" s="1"/>
  <c r="R189" i="26" s="1"/>
  <c r="P184" i="26"/>
  <c r="Q184" i="26" s="1"/>
  <c r="R184" i="26" s="1"/>
  <c r="P179" i="26"/>
  <c r="Q179" i="26" s="1"/>
  <c r="P229" i="26"/>
  <c r="Q229" i="26" s="1"/>
  <c r="R229" i="26" s="1"/>
  <c r="P221" i="26"/>
  <c r="Q221" i="26" s="1"/>
  <c r="R221" i="26" s="1"/>
  <c r="P212" i="26"/>
  <c r="Q212" i="26" s="1"/>
  <c r="R212" i="26" s="1"/>
  <c r="P190" i="26"/>
  <c r="Q190" i="26" s="1"/>
  <c r="R190" i="26" s="1"/>
  <c r="P204" i="26"/>
  <c r="Q204" i="26" s="1"/>
  <c r="R204" i="26" s="1"/>
  <c r="P188" i="26"/>
  <c r="Q188" i="26" s="1"/>
  <c r="R188" i="26" s="1"/>
  <c r="P183" i="26"/>
  <c r="Q183" i="26" s="1"/>
  <c r="R183" i="26" s="1"/>
  <c r="P182" i="26"/>
  <c r="Q182" i="26" s="1"/>
  <c r="R182" i="26" s="1"/>
  <c r="P233" i="26"/>
  <c r="Q233" i="26" s="1"/>
  <c r="R233" i="26" s="1"/>
  <c r="P225" i="26"/>
  <c r="Q225" i="26" s="1"/>
  <c r="R225" i="26" s="1"/>
  <c r="P191" i="26"/>
  <c r="Q191" i="26" s="1"/>
  <c r="R191" i="26" s="1"/>
  <c r="P185" i="26"/>
  <c r="Q185" i="26" s="1"/>
  <c r="R185" i="26" s="1"/>
  <c r="P231" i="26"/>
  <c r="Q231" i="26" s="1"/>
  <c r="R231" i="26" s="1"/>
  <c r="P227" i="26"/>
  <c r="Q227" i="26" s="1"/>
  <c r="R227" i="26" s="1"/>
  <c r="P234" i="26"/>
  <c r="Q234" i="26" s="1"/>
  <c r="R234" i="26" s="1"/>
  <c r="P230" i="26"/>
  <c r="Q230" i="26" s="1"/>
  <c r="R230" i="26" s="1"/>
  <c r="P197" i="26"/>
  <c r="Q197" i="26" s="1"/>
  <c r="R197" i="26" s="1"/>
  <c r="P192" i="26"/>
  <c r="Q192" i="26" s="1"/>
  <c r="R192" i="26" s="1"/>
  <c r="P187" i="26"/>
  <c r="Q187" i="26" s="1"/>
  <c r="R187" i="26" s="1"/>
  <c r="P181" i="26"/>
  <c r="Q181" i="26" s="1"/>
  <c r="R181" i="26" s="1"/>
  <c r="N176" i="26"/>
  <c r="V7" i="26" l="1"/>
  <c r="U7" i="26"/>
  <c r="W7" i="26"/>
  <c r="R179" i="26"/>
  <c r="S6" i="26"/>
  <c r="R354" i="26"/>
  <c r="Q237" i="26"/>
  <c r="U6" i="26" s="1"/>
  <c r="Y7" i="26" l="1"/>
  <c r="W6" i="26"/>
  <c r="V6" i="26"/>
  <c r="S448" i="26"/>
  <c r="S361" i="26"/>
  <c r="S246" i="26"/>
  <c r="S354" i="26"/>
  <c r="R237" i="26"/>
  <c r="J752" i="26" l="1"/>
  <c r="L752" i="26" s="1"/>
  <c r="J235" i="26"/>
  <c r="L235" i="26" s="1"/>
  <c r="AF13" i="26" l="1"/>
  <c r="AF19" i="26"/>
  <c r="AF36" i="26"/>
  <c r="AF37" i="26"/>
  <c r="AF56" i="26"/>
  <c r="AF57" i="26"/>
  <c r="AF64" i="26"/>
  <c r="AF67" i="26"/>
  <c r="AF70" i="26"/>
  <c r="AF76" i="26"/>
  <c r="AF79" i="26"/>
  <c r="AF81" i="26"/>
  <c r="AF82" i="26"/>
  <c r="AF115" i="26"/>
  <c r="AF117" i="26"/>
  <c r="AF118" i="26"/>
  <c r="AF122" i="26"/>
  <c r="AF126" i="26"/>
  <c r="AF132" i="26"/>
  <c r="AF136" i="26"/>
  <c r="AF137" i="26"/>
  <c r="AF151" i="26"/>
  <c r="AF174" i="26"/>
  <c r="AF175" i="26"/>
  <c r="AF296" i="26"/>
  <c r="AF297" i="26"/>
  <c r="AF298" i="26"/>
  <c r="AF308" i="26"/>
  <c r="AF317" i="26"/>
  <c r="AF325" i="26"/>
  <c r="AF334" i="26"/>
  <c r="AF348" i="26"/>
  <c r="AF350" i="26"/>
  <c r="AF351" i="26"/>
  <c r="AF492" i="26"/>
  <c r="AF493" i="26"/>
  <c r="AF494" i="26"/>
  <c r="AF507" i="26"/>
  <c r="AF540" i="26"/>
  <c r="AF541" i="26"/>
  <c r="AF552" i="26"/>
  <c r="AF561" i="26"/>
  <c r="AF562" i="26"/>
  <c r="AF573" i="26"/>
  <c r="AF599" i="26"/>
  <c r="AF600" i="26"/>
  <c r="AF610" i="26"/>
  <c r="AF619" i="26"/>
  <c r="AF629" i="26"/>
  <c r="AF631" i="26"/>
  <c r="AF632" i="26"/>
  <c r="AF633" i="26"/>
  <c r="AF645" i="26"/>
  <c r="AF659" i="26"/>
  <c r="AF660" i="26"/>
  <c r="AF669" i="26"/>
  <c r="AF671" i="26"/>
  <c r="AF672" i="26"/>
  <c r="AF678" i="26"/>
  <c r="AF683" i="26"/>
  <c r="AF688" i="26"/>
  <c r="AF689" i="26"/>
  <c r="AF697" i="26"/>
  <c r="AF699" i="26"/>
  <c r="AF806" i="26"/>
  <c r="AF807" i="26"/>
  <c r="AF812" i="26"/>
  <c r="AF818" i="26"/>
  <c r="AF822" i="26"/>
  <c r="AF835" i="26"/>
  <c r="AF841" i="26"/>
  <c r="AF842" i="26"/>
  <c r="AF857" i="26"/>
  <c r="AF862" i="26"/>
  <c r="AF869" i="26"/>
  <c r="AF875" i="26"/>
  <c r="AF890" i="26"/>
  <c r="AF891" i="26"/>
  <c r="AF895" i="26"/>
  <c r="AF896" i="26"/>
  <c r="AF902" i="26"/>
  <c r="AF915" i="26"/>
  <c r="AF921" i="26"/>
  <c r="AF923" i="26"/>
  <c r="AF924" i="26"/>
  <c r="AF934" i="26"/>
  <c r="AF936" i="26"/>
  <c r="AF939" i="26"/>
  <c r="AF941" i="26"/>
  <c r="AF942" i="26"/>
  <c r="O940" i="26" l="1"/>
  <c r="O945" i="26" l="1"/>
  <c r="S1107" i="26"/>
  <c r="S1106" i="26"/>
  <c r="S1105" i="26"/>
  <c r="S1103" i="26"/>
  <c r="S1104" i="26"/>
  <c r="N939" i="26" l="1"/>
  <c r="O937" i="26"/>
  <c r="O935" i="26"/>
  <c r="O922" i="26"/>
  <c r="O920" i="26"/>
  <c r="P920" i="26" s="1"/>
  <c r="Q920" i="26" s="1"/>
  <c r="O919" i="26"/>
  <c r="P919" i="26" s="1"/>
  <c r="Q919" i="26" s="1"/>
  <c r="O918" i="26"/>
  <c r="P918" i="26" s="1"/>
  <c r="Q918" i="26" s="1"/>
  <c r="O917" i="26"/>
  <c r="P917" i="26" s="1"/>
  <c r="Q917" i="26" s="1"/>
  <c r="O916" i="26"/>
  <c r="P916" i="26" s="1"/>
  <c r="Q916" i="26" s="1"/>
  <c r="O901" i="26"/>
  <c r="P901" i="26" s="1"/>
  <c r="Q901" i="26" s="1"/>
  <c r="O914" i="26"/>
  <c r="O913" i="26"/>
  <c r="P913" i="26" s="1"/>
  <c r="Q913" i="26" s="1"/>
  <c r="O912" i="26"/>
  <c r="P912" i="26" s="1"/>
  <c r="Q912" i="26" s="1"/>
  <c r="O911" i="26"/>
  <c r="P911" i="26" s="1"/>
  <c r="Q911" i="26" s="1"/>
  <c r="O910" i="26"/>
  <c r="P910" i="26" s="1"/>
  <c r="Q910" i="26" s="1"/>
  <c r="O909" i="26"/>
  <c r="P909" i="26" s="1"/>
  <c r="O908" i="26"/>
  <c r="O907" i="26"/>
  <c r="P907" i="26" s="1"/>
  <c r="Q907" i="26" s="1"/>
  <c r="O906" i="26"/>
  <c r="P906" i="26" s="1"/>
  <c r="O900" i="26"/>
  <c r="P900" i="26" s="1"/>
  <c r="Q900" i="26" s="1"/>
  <c r="Z894" i="26"/>
  <c r="Z893" i="26"/>
  <c r="Z892" i="26"/>
  <c r="O871" i="26"/>
  <c r="P871" i="26" s="1"/>
  <c r="Q871" i="26" s="1"/>
  <c r="O872" i="26"/>
  <c r="O873" i="26"/>
  <c r="P873" i="26" s="1"/>
  <c r="Q873" i="26" s="1"/>
  <c r="O874" i="26"/>
  <c r="P874" i="26" s="1"/>
  <c r="O870" i="26"/>
  <c r="Z864" i="26"/>
  <c r="Z865" i="26"/>
  <c r="Z866" i="26"/>
  <c r="Z867" i="26"/>
  <c r="Z868" i="26"/>
  <c r="Z863" i="26"/>
  <c r="O861" i="26"/>
  <c r="P861" i="26" s="1"/>
  <c r="Q861" i="26" s="1"/>
  <c r="O860" i="26"/>
  <c r="P860" i="26" s="1"/>
  <c r="Q860" i="26" s="1"/>
  <c r="O859" i="26"/>
  <c r="P859" i="26" s="1"/>
  <c r="O858" i="26"/>
  <c r="P858" i="26" s="1"/>
  <c r="Q858" i="26" s="1"/>
  <c r="O843" i="26"/>
  <c r="O845" i="26"/>
  <c r="P845" i="26" s="1"/>
  <c r="O846" i="26"/>
  <c r="P846" i="26" s="1"/>
  <c r="Q846" i="26" s="1"/>
  <c r="O847" i="26"/>
  <c r="P847" i="26" s="1"/>
  <c r="O848" i="26"/>
  <c r="P848" i="26" s="1"/>
  <c r="Q848" i="26" s="1"/>
  <c r="O849" i="26"/>
  <c r="P849" i="26" s="1"/>
  <c r="O850" i="26"/>
  <c r="P850" i="26" s="1"/>
  <c r="Q850" i="26" s="1"/>
  <c r="O851" i="26"/>
  <c r="P851" i="26" s="1"/>
  <c r="O852" i="26"/>
  <c r="P852" i="26" s="1"/>
  <c r="Q852" i="26" s="1"/>
  <c r="O853" i="26"/>
  <c r="P853" i="26" s="1"/>
  <c r="O854" i="26"/>
  <c r="P854" i="26" s="1"/>
  <c r="Q854" i="26" s="1"/>
  <c r="O855" i="26"/>
  <c r="P855" i="26" s="1"/>
  <c r="O856" i="26"/>
  <c r="P856" i="26" s="1"/>
  <c r="Q856" i="26" s="1"/>
  <c r="O844" i="26"/>
  <c r="P844" i="26" s="1"/>
  <c r="Q844" i="26" s="1"/>
  <c r="O837" i="26"/>
  <c r="P837" i="26" s="1"/>
  <c r="O838" i="26"/>
  <c r="P838" i="26" s="1"/>
  <c r="O839" i="26"/>
  <c r="P839" i="26" s="1"/>
  <c r="O840" i="26"/>
  <c r="P840" i="26" s="1"/>
  <c r="O836" i="26"/>
  <c r="O809" i="26"/>
  <c r="P809" i="26" s="1"/>
  <c r="O810" i="26"/>
  <c r="P810" i="26" s="1"/>
  <c r="Q810" i="26" s="1"/>
  <c r="O811" i="26"/>
  <c r="P811" i="26" s="1"/>
  <c r="O813" i="26"/>
  <c r="P813" i="26" s="1"/>
  <c r="O814" i="26"/>
  <c r="P814" i="26" s="1"/>
  <c r="Q814" i="26" s="1"/>
  <c r="R814" i="26" s="1"/>
  <c r="O815" i="26"/>
  <c r="P815" i="26" s="1"/>
  <c r="O816" i="26"/>
  <c r="P816" i="26" s="1"/>
  <c r="Q816" i="26" s="1"/>
  <c r="R816" i="26" s="1"/>
  <c r="O817" i="26"/>
  <c r="P817" i="26" s="1"/>
  <c r="O819" i="26"/>
  <c r="P819" i="26" s="1"/>
  <c r="O820" i="26"/>
  <c r="P820" i="26" s="1"/>
  <c r="Q820" i="26" s="1"/>
  <c r="R820" i="26" s="1"/>
  <c r="O821" i="26"/>
  <c r="P821" i="26" s="1"/>
  <c r="O823" i="26"/>
  <c r="P823" i="26" s="1"/>
  <c r="O824" i="26"/>
  <c r="P824" i="26" s="1"/>
  <c r="Q824" i="26" s="1"/>
  <c r="R824" i="26" s="1"/>
  <c r="O825" i="26"/>
  <c r="P825" i="26" s="1"/>
  <c r="O826" i="26"/>
  <c r="P826" i="26" s="1"/>
  <c r="Q826" i="26" s="1"/>
  <c r="R826" i="26" s="1"/>
  <c r="O827" i="26"/>
  <c r="P827" i="26" s="1"/>
  <c r="O828" i="26"/>
  <c r="P828" i="26" s="1"/>
  <c r="Q828" i="26" s="1"/>
  <c r="R828" i="26" s="1"/>
  <c r="O829" i="26"/>
  <c r="P829" i="26" s="1"/>
  <c r="O830" i="26"/>
  <c r="P830" i="26" s="1"/>
  <c r="Q830" i="26" s="1"/>
  <c r="R830" i="26" s="1"/>
  <c r="O831" i="26"/>
  <c r="P831" i="26" s="1"/>
  <c r="O808" i="26"/>
  <c r="P808" i="26" s="1"/>
  <c r="Q808" i="26" s="1"/>
  <c r="O691" i="26"/>
  <c r="P691" i="26" s="1"/>
  <c r="O692" i="26"/>
  <c r="O693" i="26"/>
  <c r="P693" i="26" s="1"/>
  <c r="Q693" i="26" s="1"/>
  <c r="O694" i="26"/>
  <c r="P694" i="26" s="1"/>
  <c r="O695" i="26"/>
  <c r="P695" i="26" s="1"/>
  <c r="Q695" i="26" s="1"/>
  <c r="O696" i="26"/>
  <c r="P696" i="26" s="1"/>
  <c r="O698" i="26"/>
  <c r="O700" i="26"/>
  <c r="P700" i="26" s="1"/>
  <c r="O701" i="26"/>
  <c r="P701" i="26" s="1"/>
  <c r="Q701" i="26" s="1"/>
  <c r="O702" i="26"/>
  <c r="P702" i="26" s="1"/>
  <c r="O703" i="26"/>
  <c r="P703" i="26" s="1"/>
  <c r="Q703" i="26" s="1"/>
  <c r="O704" i="26"/>
  <c r="O690" i="26"/>
  <c r="P690" i="26" s="1"/>
  <c r="Q690" i="26" s="1"/>
  <c r="O674" i="26"/>
  <c r="P674" i="26" s="1"/>
  <c r="O675" i="26"/>
  <c r="P675" i="26" s="1"/>
  <c r="Q675" i="26" s="1"/>
  <c r="O676" i="26"/>
  <c r="P676" i="26" s="1"/>
  <c r="O677" i="26"/>
  <c r="P677" i="26" s="1"/>
  <c r="Q677" i="26" s="1"/>
  <c r="O679" i="26"/>
  <c r="P679" i="26" s="1"/>
  <c r="Q679" i="26" s="1"/>
  <c r="O680" i="26"/>
  <c r="P680" i="26" s="1"/>
  <c r="O681" i="26"/>
  <c r="P681" i="26" s="1"/>
  <c r="Q681" i="26" s="1"/>
  <c r="O682" i="26"/>
  <c r="P682" i="26" s="1"/>
  <c r="O684" i="26"/>
  <c r="P684" i="26" s="1"/>
  <c r="O685" i="26"/>
  <c r="P685" i="26" s="1"/>
  <c r="Q685" i="26" s="1"/>
  <c r="O686" i="26"/>
  <c r="P686" i="26" s="1"/>
  <c r="O687" i="26"/>
  <c r="P687" i="26" s="1"/>
  <c r="Q687" i="26" s="1"/>
  <c r="O673" i="26"/>
  <c r="P673" i="26" s="1"/>
  <c r="Q673" i="26" s="1"/>
  <c r="O635" i="26"/>
  <c r="P635" i="26" s="1"/>
  <c r="O636" i="26"/>
  <c r="P636" i="26" s="1"/>
  <c r="Q636" i="26" s="1"/>
  <c r="O637" i="26"/>
  <c r="P637" i="26" s="1"/>
  <c r="O638" i="26"/>
  <c r="P638" i="26" s="1"/>
  <c r="Q638" i="26" s="1"/>
  <c r="O639" i="26"/>
  <c r="P639" i="26" s="1"/>
  <c r="O640" i="26"/>
  <c r="P640" i="26" s="1"/>
  <c r="Q640" i="26" s="1"/>
  <c r="O641" i="26"/>
  <c r="P641" i="26" s="1"/>
  <c r="O642" i="26"/>
  <c r="P642" i="26" s="1"/>
  <c r="Q642" i="26" s="1"/>
  <c r="O643" i="26"/>
  <c r="P643" i="26" s="1"/>
  <c r="O644" i="26"/>
  <c r="P644" i="26" s="1"/>
  <c r="Q644" i="26" s="1"/>
  <c r="O646" i="26"/>
  <c r="P646" i="26" s="1"/>
  <c r="O647" i="26"/>
  <c r="P647" i="26" s="1"/>
  <c r="O648" i="26"/>
  <c r="P648" i="26" s="1"/>
  <c r="O649" i="26"/>
  <c r="P649" i="26" s="1"/>
  <c r="O650" i="26"/>
  <c r="P650" i="26" s="1"/>
  <c r="O651" i="26"/>
  <c r="P651" i="26" s="1"/>
  <c r="O652" i="26"/>
  <c r="P652" i="26" s="1"/>
  <c r="Q652" i="26" s="1"/>
  <c r="R652" i="26" s="1"/>
  <c r="O653" i="26"/>
  <c r="P653" i="26" s="1"/>
  <c r="O654" i="26"/>
  <c r="P654" i="26" s="1"/>
  <c r="Q654" i="26" s="1"/>
  <c r="O655" i="26"/>
  <c r="P655" i="26" s="1"/>
  <c r="O656" i="26"/>
  <c r="P656" i="26" s="1"/>
  <c r="O657" i="26"/>
  <c r="P657" i="26" s="1"/>
  <c r="O658" i="26"/>
  <c r="O661" i="26"/>
  <c r="P661" i="26" s="1"/>
  <c r="O662" i="26"/>
  <c r="P662" i="26" s="1"/>
  <c r="O663" i="26"/>
  <c r="P663" i="26" s="1"/>
  <c r="Q663" i="26" s="1"/>
  <c r="O664" i="26"/>
  <c r="P664" i="26" s="1"/>
  <c r="O665" i="26"/>
  <c r="P665" i="26" s="1"/>
  <c r="O666" i="26"/>
  <c r="P666" i="26" s="1"/>
  <c r="O667" i="26"/>
  <c r="P667" i="26" s="1"/>
  <c r="O668" i="26"/>
  <c r="P668" i="26" s="1"/>
  <c r="Q668" i="26" s="1"/>
  <c r="R668" i="26" s="1"/>
  <c r="O670" i="26"/>
  <c r="P670" i="26" s="1"/>
  <c r="O634" i="26"/>
  <c r="P634" i="26" s="1"/>
  <c r="Q634" i="26" s="1"/>
  <c r="O564" i="26"/>
  <c r="O565" i="26"/>
  <c r="P565" i="26" s="1"/>
  <c r="O566" i="26"/>
  <c r="O567" i="26"/>
  <c r="P567" i="26" s="1"/>
  <c r="O568" i="26"/>
  <c r="O569" i="26"/>
  <c r="P569" i="26" s="1"/>
  <c r="O570" i="26"/>
  <c r="O571" i="26"/>
  <c r="P571" i="26" s="1"/>
  <c r="O572" i="26"/>
  <c r="O574" i="26"/>
  <c r="O575" i="26"/>
  <c r="P575" i="26" s="1"/>
  <c r="O576" i="26"/>
  <c r="P576" i="26" s="1"/>
  <c r="O577" i="26"/>
  <c r="P577" i="26" s="1"/>
  <c r="O578" i="26"/>
  <c r="P578" i="26" s="1"/>
  <c r="O579" i="26"/>
  <c r="P579" i="26" s="1"/>
  <c r="O580" i="26"/>
  <c r="P580" i="26" s="1"/>
  <c r="O581" i="26"/>
  <c r="P581" i="26" s="1"/>
  <c r="O582" i="26"/>
  <c r="P582" i="26" s="1"/>
  <c r="O583" i="26"/>
  <c r="P583" i="26" s="1"/>
  <c r="O584" i="26"/>
  <c r="P584" i="26" s="1"/>
  <c r="O585" i="26"/>
  <c r="P585" i="26" s="1"/>
  <c r="O586" i="26"/>
  <c r="P586" i="26" s="1"/>
  <c r="O587" i="26"/>
  <c r="P587" i="26" s="1"/>
  <c r="Q587" i="26" s="1"/>
  <c r="O588" i="26"/>
  <c r="P588" i="26" s="1"/>
  <c r="O589" i="26"/>
  <c r="P589" i="26" s="1"/>
  <c r="O590" i="26"/>
  <c r="P590" i="26" s="1"/>
  <c r="O591" i="26"/>
  <c r="P591" i="26" s="1"/>
  <c r="O592" i="26"/>
  <c r="P592" i="26" s="1"/>
  <c r="O593" i="26"/>
  <c r="P593" i="26" s="1"/>
  <c r="O594" i="26"/>
  <c r="P594" i="26" s="1"/>
  <c r="O595" i="26"/>
  <c r="P595" i="26" s="1"/>
  <c r="O596" i="26"/>
  <c r="P596" i="26" s="1"/>
  <c r="O597" i="26"/>
  <c r="P597" i="26" s="1"/>
  <c r="Q597" i="26" s="1"/>
  <c r="O598" i="26"/>
  <c r="P598" i="26" s="1"/>
  <c r="Q598" i="26" s="1"/>
  <c r="O601" i="26"/>
  <c r="P601" i="26" s="1"/>
  <c r="O602" i="26"/>
  <c r="P602" i="26" s="1"/>
  <c r="Q602" i="26" s="1"/>
  <c r="O603" i="26"/>
  <c r="O604" i="26"/>
  <c r="P604" i="26" s="1"/>
  <c r="Q604" i="26" s="1"/>
  <c r="O605" i="26"/>
  <c r="O606" i="26"/>
  <c r="P606" i="26" s="1"/>
  <c r="Q606" i="26" s="1"/>
  <c r="O607" i="26"/>
  <c r="O608" i="26"/>
  <c r="P608" i="26" s="1"/>
  <c r="Q608" i="26" s="1"/>
  <c r="O609" i="26"/>
  <c r="P609" i="26" s="1"/>
  <c r="O611" i="26"/>
  <c r="P611" i="26" s="1"/>
  <c r="O612" i="26"/>
  <c r="P612" i="26" s="1"/>
  <c r="Q612" i="26" s="1"/>
  <c r="O613" i="26"/>
  <c r="P613" i="26" s="1"/>
  <c r="O614" i="26"/>
  <c r="P614" i="26" s="1"/>
  <c r="Q614" i="26" s="1"/>
  <c r="O615" i="26"/>
  <c r="P615" i="26" s="1"/>
  <c r="O616" i="26"/>
  <c r="P616" i="26" s="1"/>
  <c r="Q616" i="26" s="1"/>
  <c r="O617" i="26"/>
  <c r="P617" i="26" s="1"/>
  <c r="O618" i="26"/>
  <c r="P618" i="26" s="1"/>
  <c r="Q618" i="26" s="1"/>
  <c r="O620" i="26"/>
  <c r="P620" i="26" s="1"/>
  <c r="Q620" i="26" s="1"/>
  <c r="O621" i="26"/>
  <c r="P621" i="26" s="1"/>
  <c r="O622" i="26"/>
  <c r="P622" i="26" s="1"/>
  <c r="O623" i="26"/>
  <c r="P623" i="26" s="1"/>
  <c r="O624" i="26"/>
  <c r="P624" i="26" s="1"/>
  <c r="O625" i="26"/>
  <c r="P625" i="26" s="1"/>
  <c r="Q625" i="26" s="1"/>
  <c r="O626" i="26"/>
  <c r="P626" i="26" s="1"/>
  <c r="O627" i="26"/>
  <c r="P627" i="26" s="1"/>
  <c r="Q627" i="26" s="1"/>
  <c r="O628" i="26"/>
  <c r="P628" i="26" s="1"/>
  <c r="O630" i="26"/>
  <c r="P630" i="26" s="1"/>
  <c r="O563" i="26"/>
  <c r="P563" i="26" s="1"/>
  <c r="Q563" i="26" s="1"/>
  <c r="O496" i="26"/>
  <c r="P496" i="26" s="1"/>
  <c r="O497" i="26"/>
  <c r="P497" i="26" s="1"/>
  <c r="O498" i="26"/>
  <c r="P498" i="26" s="1"/>
  <c r="Q498" i="26" s="1"/>
  <c r="O499" i="26"/>
  <c r="P499" i="26" s="1"/>
  <c r="O500" i="26"/>
  <c r="P500" i="26" s="1"/>
  <c r="Q500" i="26" s="1"/>
  <c r="O501" i="26"/>
  <c r="O502" i="26"/>
  <c r="P502" i="26" s="1"/>
  <c r="O503" i="26"/>
  <c r="P503" i="26" s="1"/>
  <c r="O504" i="26"/>
  <c r="P504" i="26" s="1"/>
  <c r="O505" i="26"/>
  <c r="P505" i="26" s="1"/>
  <c r="O506" i="26"/>
  <c r="P506" i="26" s="1"/>
  <c r="Q506" i="26" s="1"/>
  <c r="O508" i="26"/>
  <c r="P508" i="26" s="1"/>
  <c r="Q508" i="26" s="1"/>
  <c r="O509" i="26"/>
  <c r="O510" i="26"/>
  <c r="P510" i="26" s="1"/>
  <c r="O511" i="26"/>
  <c r="P511" i="26" s="1"/>
  <c r="Q511" i="26" s="1"/>
  <c r="O512" i="26"/>
  <c r="P512" i="26" s="1"/>
  <c r="O513" i="26"/>
  <c r="P513" i="26" s="1"/>
  <c r="O514" i="26"/>
  <c r="P514" i="26" s="1"/>
  <c r="O515" i="26"/>
  <c r="O516" i="26"/>
  <c r="O517" i="26"/>
  <c r="P517" i="26" s="1"/>
  <c r="O518" i="26"/>
  <c r="P518" i="26" s="1"/>
  <c r="O519" i="26"/>
  <c r="P519" i="26" s="1"/>
  <c r="O520" i="26"/>
  <c r="P520" i="26" s="1"/>
  <c r="O521" i="26"/>
  <c r="P521" i="26" s="1"/>
  <c r="Q521" i="26" s="1"/>
  <c r="O522" i="26"/>
  <c r="P522" i="26" s="1"/>
  <c r="O523" i="26"/>
  <c r="O524" i="26"/>
  <c r="O525" i="26"/>
  <c r="P525" i="26" s="1"/>
  <c r="O526" i="26"/>
  <c r="P526" i="26" s="1"/>
  <c r="O527" i="26"/>
  <c r="P527" i="26" s="1"/>
  <c r="Q527" i="26" s="1"/>
  <c r="O528" i="26"/>
  <c r="P528" i="26" s="1"/>
  <c r="O529" i="26"/>
  <c r="P529" i="26" s="1"/>
  <c r="Q529" i="26" s="1"/>
  <c r="O530" i="26"/>
  <c r="P530" i="26" s="1"/>
  <c r="Q530" i="26" s="1"/>
  <c r="O531" i="26"/>
  <c r="O532" i="26"/>
  <c r="P532" i="26" s="1"/>
  <c r="Q532" i="26" s="1"/>
  <c r="O533" i="26"/>
  <c r="O534" i="26"/>
  <c r="O535" i="26"/>
  <c r="O536" i="26"/>
  <c r="P536" i="26" s="1"/>
  <c r="O537" i="26"/>
  <c r="O538" i="26"/>
  <c r="P538" i="26" s="1"/>
  <c r="O539" i="26"/>
  <c r="O542" i="26"/>
  <c r="P542" i="26" s="1"/>
  <c r="O543" i="26"/>
  <c r="P543" i="26" s="1"/>
  <c r="O544" i="26"/>
  <c r="P544" i="26" s="1"/>
  <c r="Q544" i="26" s="1"/>
  <c r="R544" i="26" s="1"/>
  <c r="O545" i="26"/>
  <c r="P545" i="26" s="1"/>
  <c r="O546" i="26"/>
  <c r="P546" i="26" s="1"/>
  <c r="O547" i="26"/>
  <c r="P547" i="26" s="1"/>
  <c r="O548" i="26"/>
  <c r="P548" i="26" s="1"/>
  <c r="Q548" i="26" s="1"/>
  <c r="R548" i="26" s="1"/>
  <c r="O549" i="26"/>
  <c r="P549" i="26" s="1"/>
  <c r="O550" i="26"/>
  <c r="P550" i="26" s="1"/>
  <c r="Q550" i="26" s="1"/>
  <c r="R550" i="26" s="1"/>
  <c r="O551" i="26"/>
  <c r="P551" i="26" s="1"/>
  <c r="O553" i="26"/>
  <c r="P553" i="26" s="1"/>
  <c r="O554" i="26"/>
  <c r="P554" i="26" s="1"/>
  <c r="Q554" i="26" s="1"/>
  <c r="R554" i="26" s="1"/>
  <c r="O555" i="26"/>
  <c r="P555" i="26" s="1"/>
  <c r="O556" i="26"/>
  <c r="P556" i="26" s="1"/>
  <c r="Q556" i="26" s="1"/>
  <c r="R556" i="26" s="1"/>
  <c r="O557" i="26"/>
  <c r="P557" i="26" s="1"/>
  <c r="O558" i="26"/>
  <c r="P558" i="26" s="1"/>
  <c r="O559" i="26"/>
  <c r="P559" i="26" s="1"/>
  <c r="O560" i="26"/>
  <c r="P560" i="26" s="1"/>
  <c r="O495" i="26"/>
  <c r="O299" i="26"/>
  <c r="P299" i="26" s="1"/>
  <c r="Q299" i="26" s="1"/>
  <c r="O301" i="26"/>
  <c r="O302" i="26"/>
  <c r="P302" i="26" s="1"/>
  <c r="O303" i="26"/>
  <c r="O304" i="26"/>
  <c r="P304" i="26" s="1"/>
  <c r="O305" i="26"/>
  <c r="O306" i="26"/>
  <c r="P306" i="26" s="1"/>
  <c r="Q306" i="26" s="1"/>
  <c r="O307" i="26"/>
  <c r="O309" i="26"/>
  <c r="O310" i="26"/>
  <c r="P310" i="26" s="1"/>
  <c r="O311" i="26"/>
  <c r="O312" i="26"/>
  <c r="P312" i="26" s="1"/>
  <c r="Q312" i="26" s="1"/>
  <c r="O313" i="26"/>
  <c r="P313" i="26" s="1"/>
  <c r="O314" i="26"/>
  <c r="P314" i="26" s="1"/>
  <c r="O315" i="26"/>
  <c r="P315" i="26" s="1"/>
  <c r="Q315" i="26" s="1"/>
  <c r="R315" i="26" s="1"/>
  <c r="O316" i="26"/>
  <c r="P316" i="26" s="1"/>
  <c r="O318" i="26"/>
  <c r="O319" i="26"/>
  <c r="O320" i="26"/>
  <c r="P320" i="26" s="1"/>
  <c r="Q320" i="26" s="1"/>
  <c r="O321" i="26"/>
  <c r="P321" i="26" s="1"/>
  <c r="O322" i="26"/>
  <c r="P322" i="26" s="1"/>
  <c r="Q322" i="26" s="1"/>
  <c r="O323" i="26"/>
  <c r="P323" i="26" s="1"/>
  <c r="O324" i="26"/>
  <c r="P324" i="26" s="1"/>
  <c r="O326" i="26"/>
  <c r="O327" i="26"/>
  <c r="O328" i="26"/>
  <c r="P328" i="26" s="1"/>
  <c r="Q328" i="26" s="1"/>
  <c r="O329" i="26"/>
  <c r="P329" i="26" s="1"/>
  <c r="O330" i="26"/>
  <c r="P330" i="26" s="1"/>
  <c r="Q330" i="26" s="1"/>
  <c r="O331" i="26"/>
  <c r="P331" i="26" s="1"/>
  <c r="Q331" i="26" s="1"/>
  <c r="R331" i="26" s="1"/>
  <c r="O332" i="26"/>
  <c r="P332" i="26" s="1"/>
  <c r="O333" i="26"/>
  <c r="P333" i="26" s="1"/>
  <c r="O335" i="26"/>
  <c r="P335" i="26" s="1"/>
  <c r="Q335" i="26" s="1"/>
  <c r="O336" i="26"/>
  <c r="O337" i="26"/>
  <c r="P337" i="26" s="1"/>
  <c r="O338" i="26"/>
  <c r="O339" i="26"/>
  <c r="O340" i="26"/>
  <c r="O341" i="26"/>
  <c r="P341" i="26" s="1"/>
  <c r="O342" i="26"/>
  <c r="O343" i="26"/>
  <c r="P343" i="26" s="1"/>
  <c r="O344" i="26"/>
  <c r="O345" i="26"/>
  <c r="P345" i="26" s="1"/>
  <c r="O346" i="26"/>
  <c r="O347" i="26"/>
  <c r="O349" i="26"/>
  <c r="P349" i="26" s="1"/>
  <c r="Q349" i="26" s="1"/>
  <c r="O300" i="26"/>
  <c r="P300" i="26" s="1"/>
  <c r="Q300" i="26" s="1"/>
  <c r="O153" i="26"/>
  <c r="P153" i="26" s="1"/>
  <c r="O154" i="26"/>
  <c r="P154" i="26" s="1"/>
  <c r="O155" i="26"/>
  <c r="P155" i="26" s="1"/>
  <c r="Q155" i="26" s="1"/>
  <c r="O156" i="26"/>
  <c r="O157" i="26"/>
  <c r="P157" i="26" s="1"/>
  <c r="O158" i="26"/>
  <c r="P158" i="26" s="1"/>
  <c r="O159" i="26"/>
  <c r="P159" i="26" s="1"/>
  <c r="Q159" i="26" s="1"/>
  <c r="O160" i="26"/>
  <c r="P160" i="26" s="1"/>
  <c r="O161" i="26"/>
  <c r="P161" i="26" s="1"/>
  <c r="O162" i="26"/>
  <c r="P162" i="26" s="1"/>
  <c r="O163" i="26"/>
  <c r="P163" i="26" s="1"/>
  <c r="Q163" i="26" s="1"/>
  <c r="O164" i="26"/>
  <c r="P164" i="26" s="1"/>
  <c r="O165" i="26"/>
  <c r="P165" i="26" s="1"/>
  <c r="O166" i="26"/>
  <c r="P166" i="26" s="1"/>
  <c r="O167" i="26"/>
  <c r="P167" i="26" s="1"/>
  <c r="Q167" i="26" s="1"/>
  <c r="O168" i="26"/>
  <c r="P168" i="26" s="1"/>
  <c r="Q168" i="26" s="1"/>
  <c r="R168" i="26" s="1"/>
  <c r="O169" i="26"/>
  <c r="P169" i="26" s="1"/>
  <c r="O170" i="26"/>
  <c r="P170" i="26" s="1"/>
  <c r="O171" i="26"/>
  <c r="P171" i="26" s="1"/>
  <c r="Q171" i="26" s="1"/>
  <c r="O172" i="26"/>
  <c r="P172" i="26" s="1"/>
  <c r="Q172" i="26" s="1"/>
  <c r="R172" i="26" s="1"/>
  <c r="O173" i="26"/>
  <c r="P173" i="26" s="1"/>
  <c r="O152" i="26"/>
  <c r="P152" i="26" s="1"/>
  <c r="P843" i="26" l="1"/>
  <c r="Q843" i="26" s="1"/>
  <c r="R843" i="26" s="1"/>
  <c r="Q935" i="26"/>
  <c r="AA935" i="26" s="1"/>
  <c r="AB935" i="26" s="1"/>
  <c r="AC935" i="26" s="1"/>
  <c r="AD935" i="26" s="1"/>
  <c r="AF935" i="26" s="1"/>
  <c r="Q937" i="26"/>
  <c r="AA937" i="26" s="1"/>
  <c r="AB937" i="26" s="1"/>
  <c r="AC937" i="26" s="1"/>
  <c r="AD937" i="26" s="1"/>
  <c r="AF937" i="26" s="1"/>
  <c r="N921" i="26"/>
  <c r="Q940" i="26"/>
  <c r="AA940" i="26" s="1"/>
  <c r="Q591" i="26"/>
  <c r="R591" i="26" s="1"/>
  <c r="Q595" i="26"/>
  <c r="R595" i="26" s="1"/>
  <c r="Q510" i="26"/>
  <c r="R510" i="26" s="1"/>
  <c r="Q579" i="26"/>
  <c r="R579" i="26" s="1"/>
  <c r="N493" i="26"/>
  <c r="Q520" i="26"/>
  <c r="R520" i="26" s="1"/>
  <c r="Q575" i="26"/>
  <c r="R575" i="26" s="1"/>
  <c r="Q571" i="26"/>
  <c r="R571" i="26" s="1"/>
  <c r="N934" i="26"/>
  <c r="N936" i="26"/>
  <c r="Q341" i="26"/>
  <c r="R341" i="26" s="1"/>
  <c r="Q321" i="26"/>
  <c r="R321" i="26" s="1"/>
  <c r="Q558" i="26"/>
  <c r="R558" i="26" s="1"/>
  <c r="Q536" i="26"/>
  <c r="R536" i="26" s="1"/>
  <c r="Q621" i="26"/>
  <c r="R621" i="26" s="1"/>
  <c r="Q567" i="26"/>
  <c r="R567" i="26" s="1"/>
  <c r="Q653" i="26"/>
  <c r="R653" i="26" s="1"/>
  <c r="P870" i="26"/>
  <c r="Q870" i="26" s="1"/>
  <c r="R870" i="26" s="1"/>
  <c r="P914" i="26"/>
  <c r="Q914" i="26" s="1"/>
  <c r="Q164" i="26"/>
  <c r="R164" i="26" s="1"/>
  <c r="Q343" i="26"/>
  <c r="R343" i="26" s="1"/>
  <c r="Q560" i="26"/>
  <c r="R560" i="26" s="1"/>
  <c r="Q538" i="26"/>
  <c r="R538" i="26" s="1"/>
  <c r="Q502" i="26"/>
  <c r="R502" i="26" s="1"/>
  <c r="Q496" i="26"/>
  <c r="R496" i="26" s="1"/>
  <c r="Q583" i="26"/>
  <c r="R583" i="26" s="1"/>
  <c r="Q667" i="26"/>
  <c r="R667" i="26" s="1"/>
  <c r="Q662" i="26"/>
  <c r="R662" i="26" s="1"/>
  <c r="P908" i="26"/>
  <c r="Q908" i="26" s="1"/>
  <c r="P156" i="26"/>
  <c r="Q156" i="26" s="1"/>
  <c r="R156" i="26" s="1"/>
  <c r="P347" i="26"/>
  <c r="Q347" i="26" s="1"/>
  <c r="R347" i="26" s="1"/>
  <c r="Q345" i="26"/>
  <c r="R345" i="26" s="1"/>
  <c r="P339" i="26"/>
  <c r="Q339" i="26" s="1"/>
  <c r="R339" i="26" s="1"/>
  <c r="Q337" i="26"/>
  <c r="R337" i="26" s="1"/>
  <c r="Q542" i="26"/>
  <c r="R542" i="26" s="1"/>
  <c r="P534" i="26"/>
  <c r="Q534" i="26" s="1"/>
  <c r="R534" i="26" s="1"/>
  <c r="Q526" i="26"/>
  <c r="R526" i="26" s="1"/>
  <c r="Q514" i="26"/>
  <c r="R514" i="26" s="1"/>
  <c r="Q504" i="26"/>
  <c r="R504" i="26" s="1"/>
  <c r="N561" i="26"/>
  <c r="N806" i="26"/>
  <c r="Q313" i="26"/>
  <c r="R313" i="26" s="1"/>
  <c r="N296" i="26"/>
  <c r="Q518" i="26"/>
  <c r="R518" i="26" s="1"/>
  <c r="Q512" i="26"/>
  <c r="R512" i="26" s="1"/>
  <c r="Q593" i="26"/>
  <c r="R593" i="26" s="1"/>
  <c r="Q585" i="26"/>
  <c r="R585" i="26" s="1"/>
  <c r="Q577" i="26"/>
  <c r="R577" i="26" s="1"/>
  <c r="Q565" i="26"/>
  <c r="R565" i="26" s="1"/>
  <c r="Q666" i="26"/>
  <c r="R666" i="26" s="1"/>
  <c r="Q661" i="26"/>
  <c r="R661" i="26" s="1"/>
  <c r="Q694" i="26"/>
  <c r="R694" i="26" s="1"/>
  <c r="Q831" i="26"/>
  <c r="R831" i="26" s="1"/>
  <c r="Q813" i="26"/>
  <c r="R813" i="26" s="1"/>
  <c r="Q874" i="26"/>
  <c r="R874" i="26" s="1"/>
  <c r="N151" i="26"/>
  <c r="N632" i="26"/>
  <c r="N671" i="26"/>
  <c r="Q160" i="26"/>
  <c r="R160" i="26" s="1"/>
  <c r="Q314" i="26"/>
  <c r="R314" i="26" s="1"/>
  <c r="Q310" i="26"/>
  <c r="R310" i="26" s="1"/>
  <c r="Q304" i="26"/>
  <c r="R304" i="26" s="1"/>
  <c r="Q302" i="26"/>
  <c r="R302" i="26" s="1"/>
  <c r="Q546" i="26"/>
  <c r="R546" i="26" s="1"/>
  <c r="Q519" i="26"/>
  <c r="R519" i="26" s="1"/>
  <c r="Q513" i="26"/>
  <c r="R513" i="26" s="1"/>
  <c r="Q650" i="26"/>
  <c r="R650" i="26" s="1"/>
  <c r="Q646" i="26"/>
  <c r="R646" i="26" s="1"/>
  <c r="Q700" i="26"/>
  <c r="R700" i="26" s="1"/>
  <c r="Q696" i="26"/>
  <c r="R696" i="26" s="1"/>
  <c r="N688" i="26"/>
  <c r="Q815" i="26"/>
  <c r="R815" i="26" s="1"/>
  <c r="Q809" i="26"/>
  <c r="R809" i="26" s="1"/>
  <c r="N835" i="26"/>
  <c r="N869" i="26"/>
  <c r="N857" i="26"/>
  <c r="Q329" i="26"/>
  <c r="R329" i="26" s="1"/>
  <c r="Q323" i="26"/>
  <c r="R323" i="26" s="1"/>
  <c r="Q528" i="26"/>
  <c r="R528" i="26" s="1"/>
  <c r="Q522" i="26"/>
  <c r="R522" i="26" s="1"/>
  <c r="P607" i="26"/>
  <c r="Q607" i="26" s="1"/>
  <c r="R607" i="26" s="1"/>
  <c r="P605" i="26"/>
  <c r="Q605" i="26" s="1"/>
  <c r="R605" i="26" s="1"/>
  <c r="P603" i="26"/>
  <c r="Q603" i="26" s="1"/>
  <c r="R603" i="26" s="1"/>
  <c r="Q589" i="26"/>
  <c r="R589" i="26" s="1"/>
  <c r="Q581" i="26"/>
  <c r="R581" i="26" s="1"/>
  <c r="Q569" i="26"/>
  <c r="R569" i="26" s="1"/>
  <c r="P658" i="26"/>
  <c r="Q658" i="26" s="1"/>
  <c r="R658" i="26" s="1"/>
  <c r="Q651" i="26"/>
  <c r="R651" i="26" s="1"/>
  <c r="P704" i="26"/>
  <c r="Q704" i="26" s="1"/>
  <c r="R704" i="26" s="1"/>
  <c r="Q702" i="26"/>
  <c r="R702" i="26" s="1"/>
  <c r="P698" i="26"/>
  <c r="Q698" i="26" s="1"/>
  <c r="R698" i="26" s="1"/>
  <c r="P692" i="26"/>
  <c r="Q692" i="26" s="1"/>
  <c r="R692" i="26" s="1"/>
  <c r="Q823" i="26"/>
  <c r="R823" i="26" s="1"/>
  <c r="Q817" i="26"/>
  <c r="R817" i="26" s="1"/>
  <c r="Q811" i="26"/>
  <c r="R811" i="26" s="1"/>
  <c r="N842" i="26"/>
  <c r="P872" i="26"/>
  <c r="Q872" i="26" s="1"/>
  <c r="R872" i="26" s="1"/>
  <c r="N915" i="26"/>
  <c r="Q601" i="26"/>
  <c r="R601" i="26" s="1"/>
  <c r="P922" i="26"/>
  <c r="Q922" i="26" s="1"/>
  <c r="R922" i="26" s="1"/>
  <c r="R920" i="26"/>
  <c r="R919" i="26"/>
  <c r="R918" i="26"/>
  <c r="R917" i="26"/>
  <c r="R916" i="26"/>
  <c r="R901" i="26"/>
  <c r="R913" i="26"/>
  <c r="R912" i="26"/>
  <c r="R911" i="26"/>
  <c r="R910" i="26"/>
  <c r="Q909" i="26"/>
  <c r="R907" i="26"/>
  <c r="Q906" i="26"/>
  <c r="R900" i="26"/>
  <c r="R873" i="26"/>
  <c r="R871" i="26"/>
  <c r="R861" i="26"/>
  <c r="R860" i="26"/>
  <c r="Q859" i="26"/>
  <c r="R858" i="26"/>
  <c r="R852" i="26"/>
  <c r="R854" i="26"/>
  <c r="R846" i="26"/>
  <c r="R856" i="26"/>
  <c r="R848" i="26"/>
  <c r="R850" i="26"/>
  <c r="Q855" i="26"/>
  <c r="Q853" i="26"/>
  <c r="Q851" i="26"/>
  <c r="Q849" i="26"/>
  <c r="Q847" i="26"/>
  <c r="Q845" i="26"/>
  <c r="R844" i="26"/>
  <c r="Q840" i="26"/>
  <c r="Q839" i="26"/>
  <c r="Q838" i="26"/>
  <c r="Q837" i="26"/>
  <c r="P836" i="26"/>
  <c r="Q836" i="26" s="1"/>
  <c r="R810" i="26"/>
  <c r="Q827" i="26"/>
  <c r="Q819" i="26"/>
  <c r="Q825" i="26"/>
  <c r="Q829" i="26"/>
  <c r="Q821" i="26"/>
  <c r="R808" i="26"/>
  <c r="R701" i="26"/>
  <c r="R703" i="26"/>
  <c r="R695" i="26"/>
  <c r="R693" i="26"/>
  <c r="Q691" i="26"/>
  <c r="R690" i="26"/>
  <c r="R675" i="26"/>
  <c r="R685" i="26"/>
  <c r="R677" i="26"/>
  <c r="R681" i="26"/>
  <c r="R687" i="26"/>
  <c r="R679" i="26"/>
  <c r="Q686" i="26"/>
  <c r="Q684" i="26"/>
  <c r="Q682" i="26"/>
  <c r="Q680" i="26"/>
  <c r="Q676" i="26"/>
  <c r="Q674" i="26"/>
  <c r="R673" i="26"/>
  <c r="R663" i="26"/>
  <c r="R654" i="26"/>
  <c r="R640" i="26"/>
  <c r="Q670" i="26"/>
  <c r="Q664" i="26"/>
  <c r="Q656" i="26"/>
  <c r="Q655" i="26"/>
  <c r="Q648" i="26"/>
  <c r="Q647" i="26"/>
  <c r="R642" i="26"/>
  <c r="R638" i="26"/>
  <c r="Q665" i="26"/>
  <c r="Q657" i="26"/>
  <c r="Q649" i="26"/>
  <c r="R644" i="26"/>
  <c r="R636" i="26"/>
  <c r="Q643" i="26"/>
  <c r="Q641" i="26"/>
  <c r="Q639" i="26"/>
  <c r="Q637" i="26"/>
  <c r="Q635" i="26"/>
  <c r="R634" i="26"/>
  <c r="R625" i="26"/>
  <c r="R627" i="26"/>
  <c r="R620" i="26"/>
  <c r="R614" i="26"/>
  <c r="R597" i="26"/>
  <c r="Q630" i="26"/>
  <c r="Q628" i="26"/>
  <c r="Q626" i="26"/>
  <c r="Q624" i="26"/>
  <c r="Q622" i="26"/>
  <c r="R616" i="26"/>
  <c r="R608" i="26"/>
  <c r="R606" i="26"/>
  <c r="R604" i="26"/>
  <c r="R602" i="26"/>
  <c r="R598" i="26"/>
  <c r="R612" i="26"/>
  <c r="Q623" i="26"/>
  <c r="R618" i="26"/>
  <c r="Q617" i="26"/>
  <c r="Q615" i="26"/>
  <c r="Q613" i="26"/>
  <c r="Q611" i="26"/>
  <c r="Q609" i="26"/>
  <c r="Q592" i="26"/>
  <c r="Q588" i="26"/>
  <c r="Q584" i="26"/>
  <c r="Q580" i="26"/>
  <c r="Q576" i="26"/>
  <c r="R587" i="26"/>
  <c r="P574" i="26"/>
  <c r="Q574" i="26" s="1"/>
  <c r="P570" i="26"/>
  <c r="Q570" i="26" s="1"/>
  <c r="P566" i="26"/>
  <c r="Q566" i="26" s="1"/>
  <c r="Q596" i="26"/>
  <c r="Q594" i="26"/>
  <c r="Q590" i="26"/>
  <c r="Q586" i="26"/>
  <c r="Q582" i="26"/>
  <c r="Q578" i="26"/>
  <c r="P572" i="26"/>
  <c r="Q572" i="26" s="1"/>
  <c r="P568" i="26"/>
  <c r="Q568" i="26" s="1"/>
  <c r="P564" i="26"/>
  <c r="Q564" i="26" s="1"/>
  <c r="R563" i="26"/>
  <c r="R508" i="26"/>
  <c r="R500" i="26"/>
  <c r="R527" i="26"/>
  <c r="R511" i="26"/>
  <c r="P524" i="26"/>
  <c r="Q524" i="26" s="1"/>
  <c r="P516" i="26"/>
  <c r="Q516" i="26" s="1"/>
  <c r="P509" i="26"/>
  <c r="Q509" i="26" s="1"/>
  <c r="P501" i="26"/>
  <c r="Q501" i="26" s="1"/>
  <c r="Q559" i="26"/>
  <c r="Q557" i="26"/>
  <c r="Q555" i="26"/>
  <c r="Q553" i="26"/>
  <c r="Q551" i="26"/>
  <c r="Q549" i="26"/>
  <c r="R529" i="26"/>
  <c r="Q525" i="26"/>
  <c r="R521" i="26"/>
  <c r="Q517" i="26"/>
  <c r="P523" i="26"/>
  <c r="Q523" i="26" s="1"/>
  <c r="P515" i="26"/>
  <c r="Q515" i="26" s="1"/>
  <c r="Q547" i="26"/>
  <c r="Q545" i="26"/>
  <c r="Q543" i="26"/>
  <c r="P539" i="26"/>
  <c r="Q539" i="26" s="1"/>
  <c r="P537" i="26"/>
  <c r="Q537" i="26" s="1"/>
  <c r="P535" i="26"/>
  <c r="Q535" i="26" s="1"/>
  <c r="P533" i="26"/>
  <c r="Q533" i="26" s="1"/>
  <c r="R532" i="26"/>
  <c r="P531" i="26"/>
  <c r="Q531" i="26" s="1"/>
  <c r="R530" i="26"/>
  <c r="R506" i="26"/>
  <c r="Q503" i="26"/>
  <c r="R498" i="26"/>
  <c r="Q505" i="26"/>
  <c r="Q497" i="26"/>
  <c r="Q499" i="26"/>
  <c r="P495" i="26"/>
  <c r="Q495" i="26" s="1"/>
  <c r="R299" i="26"/>
  <c r="R335" i="26"/>
  <c r="R320" i="26"/>
  <c r="P342" i="26"/>
  <c r="Q342" i="26" s="1"/>
  <c r="R328" i="26"/>
  <c r="R322" i="26"/>
  <c r="P318" i="26"/>
  <c r="Q318" i="26" s="1"/>
  <c r="P344" i="26"/>
  <c r="Q344" i="26" s="1"/>
  <c r="P336" i="26"/>
  <c r="Q336" i="26" s="1"/>
  <c r="R330" i="26"/>
  <c r="P326" i="26"/>
  <c r="Q326" i="26" s="1"/>
  <c r="P311" i="26"/>
  <c r="Q311" i="26" s="1"/>
  <c r="R306" i="26"/>
  <c r="P340" i="26"/>
  <c r="Q340" i="26" s="1"/>
  <c r="P327" i="26"/>
  <c r="Q327" i="26" s="1"/>
  <c r="R349" i="26"/>
  <c r="P346" i="26"/>
  <c r="Q346" i="26" s="1"/>
  <c r="P338" i="26"/>
  <c r="Q338" i="26" s="1"/>
  <c r="P319" i="26"/>
  <c r="Q319" i="26" s="1"/>
  <c r="R312" i="26"/>
  <c r="P303" i="26"/>
  <c r="Q303" i="26" s="1"/>
  <c r="Q332" i="26"/>
  <c r="Q324" i="26"/>
  <c r="Q316" i="26"/>
  <c r="P305" i="26"/>
  <c r="Q305" i="26" s="1"/>
  <c r="Q333" i="26"/>
  <c r="P307" i="26"/>
  <c r="Q307" i="26" s="1"/>
  <c r="P309" i="26"/>
  <c r="Q309" i="26" s="1"/>
  <c r="P301" i="26"/>
  <c r="Q301" i="26" s="1"/>
  <c r="R300" i="26"/>
  <c r="R167" i="26"/>
  <c r="R159" i="26"/>
  <c r="R171" i="26"/>
  <c r="R155" i="26"/>
  <c r="R163" i="26"/>
  <c r="Q173" i="26"/>
  <c r="Q165" i="26"/>
  <c r="Q161" i="26"/>
  <c r="Q157" i="26"/>
  <c r="Q153" i="26"/>
  <c r="Q169" i="26"/>
  <c r="Q170" i="26"/>
  <c r="Q166" i="26"/>
  <c r="Q162" i="26"/>
  <c r="Q158" i="26"/>
  <c r="Q154" i="26"/>
  <c r="Q152" i="26"/>
  <c r="O139" i="26"/>
  <c r="P139" i="26" s="1"/>
  <c r="O140" i="26"/>
  <c r="P140" i="26" s="1"/>
  <c r="Q140" i="26" s="1"/>
  <c r="O141" i="26"/>
  <c r="P141" i="26" s="1"/>
  <c r="O142" i="26"/>
  <c r="P142" i="26" s="1"/>
  <c r="Q142" i="26" s="1"/>
  <c r="O143" i="26"/>
  <c r="P143" i="26" s="1"/>
  <c r="O144" i="26"/>
  <c r="P144" i="26" s="1"/>
  <c r="Q144" i="26" s="1"/>
  <c r="O145" i="26"/>
  <c r="P145" i="26" s="1"/>
  <c r="O146" i="26"/>
  <c r="P146" i="26" s="1"/>
  <c r="O147" i="26"/>
  <c r="P147" i="26" s="1"/>
  <c r="Q147" i="26" s="1"/>
  <c r="O148" i="26"/>
  <c r="P148" i="26" s="1"/>
  <c r="Q148" i="26" s="1"/>
  <c r="O149" i="26"/>
  <c r="P149" i="26" s="1"/>
  <c r="O150" i="26"/>
  <c r="O138" i="26"/>
  <c r="O134" i="26"/>
  <c r="P134" i="26" s="1"/>
  <c r="O135" i="26"/>
  <c r="P135" i="26" s="1"/>
  <c r="O133" i="26"/>
  <c r="O131" i="26"/>
  <c r="O128" i="26"/>
  <c r="P128" i="26" s="1"/>
  <c r="Q128" i="26" s="1"/>
  <c r="O129" i="26"/>
  <c r="P129" i="26" s="1"/>
  <c r="O130" i="26"/>
  <c r="P130" i="26" s="1"/>
  <c r="Q130" i="26" s="1"/>
  <c r="O120" i="26"/>
  <c r="O121" i="26"/>
  <c r="P121" i="26" s="1"/>
  <c r="O123" i="26"/>
  <c r="P123" i="26" s="1"/>
  <c r="Q123" i="26" s="1"/>
  <c r="R123" i="26" s="1"/>
  <c r="O124" i="26"/>
  <c r="P124" i="26" s="1"/>
  <c r="O125" i="26"/>
  <c r="P125" i="26" s="1"/>
  <c r="O119" i="26"/>
  <c r="P119" i="26" s="1"/>
  <c r="O116" i="26"/>
  <c r="Q116" i="26" s="1"/>
  <c r="AA116" i="26" s="1"/>
  <c r="AB116" i="26" s="1"/>
  <c r="AC116" i="26" s="1"/>
  <c r="AD116" i="26" s="1"/>
  <c r="AF116" i="26" s="1"/>
  <c r="O84" i="26"/>
  <c r="Q84" i="26" s="1"/>
  <c r="AA84" i="26" s="1"/>
  <c r="AB84" i="26" s="1"/>
  <c r="AC84" i="26" s="1"/>
  <c r="AD84" i="26" s="1"/>
  <c r="AF84" i="26" s="1"/>
  <c r="O85" i="26"/>
  <c r="Q85" i="26" s="1"/>
  <c r="AA85" i="26" s="1"/>
  <c r="AB85" i="26" s="1"/>
  <c r="AC85" i="26" s="1"/>
  <c r="AD85" i="26" s="1"/>
  <c r="AF85" i="26" s="1"/>
  <c r="O86" i="26"/>
  <c r="Q86" i="26" s="1"/>
  <c r="AA86" i="26" s="1"/>
  <c r="AB86" i="26" s="1"/>
  <c r="AC86" i="26" s="1"/>
  <c r="AD86" i="26" s="1"/>
  <c r="AF86" i="26" s="1"/>
  <c r="O87" i="26"/>
  <c r="Q87" i="26" s="1"/>
  <c r="AA87" i="26" s="1"/>
  <c r="AB87" i="26" s="1"/>
  <c r="AC87" i="26" s="1"/>
  <c r="AD87" i="26" s="1"/>
  <c r="AF87" i="26" s="1"/>
  <c r="O88" i="26"/>
  <c r="Q88" i="26" s="1"/>
  <c r="AA88" i="26" s="1"/>
  <c r="AB88" i="26" s="1"/>
  <c r="AC88" i="26" s="1"/>
  <c r="AD88" i="26" s="1"/>
  <c r="AF88" i="26" s="1"/>
  <c r="O89" i="26"/>
  <c r="Q89" i="26" s="1"/>
  <c r="AA89" i="26" s="1"/>
  <c r="AB89" i="26" s="1"/>
  <c r="AC89" i="26" s="1"/>
  <c r="AD89" i="26" s="1"/>
  <c r="AF89" i="26" s="1"/>
  <c r="O90" i="26"/>
  <c r="Q90" i="26" s="1"/>
  <c r="AA90" i="26" s="1"/>
  <c r="AB90" i="26" s="1"/>
  <c r="AC90" i="26" s="1"/>
  <c r="AD90" i="26" s="1"/>
  <c r="AF90" i="26" s="1"/>
  <c r="O91" i="26"/>
  <c r="Q91" i="26" s="1"/>
  <c r="AA91" i="26" s="1"/>
  <c r="AB91" i="26" s="1"/>
  <c r="AC91" i="26" s="1"/>
  <c r="AD91" i="26" s="1"/>
  <c r="AF91" i="26" s="1"/>
  <c r="O92" i="26"/>
  <c r="Q92" i="26" s="1"/>
  <c r="AA92" i="26" s="1"/>
  <c r="AB92" i="26" s="1"/>
  <c r="AC92" i="26" s="1"/>
  <c r="AD92" i="26" s="1"/>
  <c r="AF92" i="26" s="1"/>
  <c r="O93" i="26"/>
  <c r="Q93" i="26" s="1"/>
  <c r="AA93" i="26" s="1"/>
  <c r="AB93" i="26" s="1"/>
  <c r="AC93" i="26" s="1"/>
  <c r="AD93" i="26" s="1"/>
  <c r="AF93" i="26" s="1"/>
  <c r="O94" i="26"/>
  <c r="Q94" i="26" s="1"/>
  <c r="AA94" i="26" s="1"/>
  <c r="AB94" i="26" s="1"/>
  <c r="AC94" i="26" s="1"/>
  <c r="AD94" i="26" s="1"/>
  <c r="AF94" i="26" s="1"/>
  <c r="O95" i="26"/>
  <c r="Q95" i="26" s="1"/>
  <c r="AA95" i="26" s="1"/>
  <c r="AB95" i="26" s="1"/>
  <c r="AC95" i="26" s="1"/>
  <c r="AD95" i="26" s="1"/>
  <c r="AF95" i="26" s="1"/>
  <c r="O96" i="26"/>
  <c r="Q96" i="26" s="1"/>
  <c r="AA96" i="26" s="1"/>
  <c r="AB96" i="26" s="1"/>
  <c r="AC96" i="26" s="1"/>
  <c r="AD96" i="26" s="1"/>
  <c r="AF96" i="26" s="1"/>
  <c r="O97" i="26"/>
  <c r="Q97" i="26" s="1"/>
  <c r="AA97" i="26" s="1"/>
  <c r="AB97" i="26" s="1"/>
  <c r="AC97" i="26" s="1"/>
  <c r="AD97" i="26" s="1"/>
  <c r="AF97" i="26" s="1"/>
  <c r="O98" i="26"/>
  <c r="Q98" i="26" s="1"/>
  <c r="AA98" i="26" s="1"/>
  <c r="AB98" i="26" s="1"/>
  <c r="AC98" i="26" s="1"/>
  <c r="AD98" i="26" s="1"/>
  <c r="AF98" i="26" s="1"/>
  <c r="O99" i="26"/>
  <c r="Q99" i="26" s="1"/>
  <c r="AA99" i="26" s="1"/>
  <c r="AB99" i="26" s="1"/>
  <c r="AC99" i="26" s="1"/>
  <c r="AD99" i="26" s="1"/>
  <c r="AF99" i="26" s="1"/>
  <c r="O100" i="26"/>
  <c r="Q100" i="26" s="1"/>
  <c r="AA100" i="26" s="1"/>
  <c r="AB100" i="26" s="1"/>
  <c r="AC100" i="26" s="1"/>
  <c r="AD100" i="26" s="1"/>
  <c r="AF100" i="26" s="1"/>
  <c r="O101" i="26"/>
  <c r="Q101" i="26" s="1"/>
  <c r="AA101" i="26" s="1"/>
  <c r="AB101" i="26" s="1"/>
  <c r="AC101" i="26" s="1"/>
  <c r="AD101" i="26" s="1"/>
  <c r="AF101" i="26" s="1"/>
  <c r="O102" i="26"/>
  <c r="Q102" i="26" s="1"/>
  <c r="AA102" i="26" s="1"/>
  <c r="AB102" i="26" s="1"/>
  <c r="AC102" i="26" s="1"/>
  <c r="AD102" i="26" s="1"/>
  <c r="AF102" i="26" s="1"/>
  <c r="O103" i="26"/>
  <c r="Q103" i="26" s="1"/>
  <c r="AA103" i="26" s="1"/>
  <c r="AB103" i="26" s="1"/>
  <c r="AC103" i="26" s="1"/>
  <c r="AD103" i="26" s="1"/>
  <c r="AF103" i="26" s="1"/>
  <c r="O104" i="26"/>
  <c r="Q104" i="26" s="1"/>
  <c r="AA104" i="26" s="1"/>
  <c r="AB104" i="26" s="1"/>
  <c r="AC104" i="26" s="1"/>
  <c r="AD104" i="26" s="1"/>
  <c r="AF104" i="26" s="1"/>
  <c r="O105" i="26"/>
  <c r="Q105" i="26" s="1"/>
  <c r="AA105" i="26" s="1"/>
  <c r="AB105" i="26" s="1"/>
  <c r="AC105" i="26" s="1"/>
  <c r="AD105" i="26" s="1"/>
  <c r="AF105" i="26" s="1"/>
  <c r="O106" i="26"/>
  <c r="Q106" i="26" s="1"/>
  <c r="AA106" i="26" s="1"/>
  <c r="AB106" i="26" s="1"/>
  <c r="AC106" i="26" s="1"/>
  <c r="AD106" i="26" s="1"/>
  <c r="AF106" i="26" s="1"/>
  <c r="O107" i="26"/>
  <c r="Q107" i="26" s="1"/>
  <c r="AA107" i="26" s="1"/>
  <c r="AB107" i="26" s="1"/>
  <c r="AC107" i="26" s="1"/>
  <c r="AD107" i="26" s="1"/>
  <c r="AF107" i="26" s="1"/>
  <c r="O108" i="26"/>
  <c r="Q108" i="26" s="1"/>
  <c r="AA108" i="26" s="1"/>
  <c r="AB108" i="26" s="1"/>
  <c r="AC108" i="26" s="1"/>
  <c r="AD108" i="26" s="1"/>
  <c r="AF108" i="26" s="1"/>
  <c r="O109" i="26"/>
  <c r="Q109" i="26" s="1"/>
  <c r="AA109" i="26" s="1"/>
  <c r="AB109" i="26" s="1"/>
  <c r="AC109" i="26" s="1"/>
  <c r="AD109" i="26" s="1"/>
  <c r="AF109" i="26" s="1"/>
  <c r="O110" i="26"/>
  <c r="Q110" i="26" s="1"/>
  <c r="AA110" i="26" s="1"/>
  <c r="AB110" i="26" s="1"/>
  <c r="AC110" i="26" s="1"/>
  <c r="AD110" i="26" s="1"/>
  <c r="AF110" i="26" s="1"/>
  <c r="O111" i="26"/>
  <c r="Q111" i="26" s="1"/>
  <c r="AA111" i="26" s="1"/>
  <c r="AB111" i="26" s="1"/>
  <c r="AC111" i="26" s="1"/>
  <c r="AD111" i="26" s="1"/>
  <c r="AF111" i="26" s="1"/>
  <c r="O112" i="26"/>
  <c r="Q112" i="26" s="1"/>
  <c r="AA112" i="26" s="1"/>
  <c r="AB112" i="26" s="1"/>
  <c r="AC112" i="26" s="1"/>
  <c r="AD112" i="26" s="1"/>
  <c r="AF112" i="26" s="1"/>
  <c r="O113" i="26"/>
  <c r="Q113" i="26" s="1"/>
  <c r="AA113" i="26" s="1"/>
  <c r="AB113" i="26" s="1"/>
  <c r="AC113" i="26" s="1"/>
  <c r="AD113" i="26" s="1"/>
  <c r="AF113" i="26" s="1"/>
  <c r="O114" i="26"/>
  <c r="Q114" i="26" s="1"/>
  <c r="AA114" i="26" s="1"/>
  <c r="AB114" i="26" s="1"/>
  <c r="AC114" i="26" s="1"/>
  <c r="AD114" i="26" s="1"/>
  <c r="AF114" i="26" s="1"/>
  <c r="O83" i="26"/>
  <c r="Q83" i="26" s="1"/>
  <c r="O80" i="26"/>
  <c r="Q80" i="26" s="1"/>
  <c r="AA80" i="26" s="1"/>
  <c r="AB80" i="26" s="1"/>
  <c r="AC80" i="26" s="1"/>
  <c r="AD80" i="26" s="1"/>
  <c r="AF80" i="26" s="1"/>
  <c r="W4" i="26" l="1"/>
  <c r="P138" i="26"/>
  <c r="Q138" i="26" s="1"/>
  <c r="R138" i="26" s="1"/>
  <c r="AA83" i="26"/>
  <c r="AB940" i="26"/>
  <c r="AC940" i="26" s="1"/>
  <c r="AD940" i="26" s="1"/>
  <c r="AF940" i="26" s="1"/>
  <c r="R908" i="26"/>
  <c r="R914" i="26"/>
  <c r="N115" i="26"/>
  <c r="Q121" i="26"/>
  <c r="R121" i="26" s="1"/>
  <c r="N79" i="26"/>
  <c r="N81" i="26"/>
  <c r="N117" i="26"/>
  <c r="N132" i="26"/>
  <c r="N137" i="26"/>
  <c r="Q125" i="26"/>
  <c r="R125" i="26" s="1"/>
  <c r="Q124" i="26"/>
  <c r="R124" i="26" s="1"/>
  <c r="Q129" i="26"/>
  <c r="R129" i="26" s="1"/>
  <c r="Q146" i="26"/>
  <c r="R146" i="26" s="1"/>
  <c r="P120" i="26"/>
  <c r="Q120" i="26" s="1"/>
  <c r="R120" i="26" s="1"/>
  <c r="P150" i="26"/>
  <c r="Q150" i="26" s="1"/>
  <c r="R150" i="26" s="1"/>
  <c r="R909" i="26"/>
  <c r="R906" i="26"/>
  <c r="R859" i="26"/>
  <c r="R851" i="26"/>
  <c r="R849" i="26"/>
  <c r="R845" i="26"/>
  <c r="R853" i="26"/>
  <c r="R847" i="26"/>
  <c r="R855" i="26"/>
  <c r="R837" i="26"/>
  <c r="AA837" i="26" s="1"/>
  <c r="AB837" i="26" s="1"/>
  <c r="AC837" i="26" s="1"/>
  <c r="AD837" i="26" s="1"/>
  <c r="AF837" i="26" s="1"/>
  <c r="R839" i="26"/>
  <c r="AA839" i="26" s="1"/>
  <c r="AB839" i="26" s="1"/>
  <c r="AC839" i="26" s="1"/>
  <c r="AD839" i="26" s="1"/>
  <c r="AF839" i="26" s="1"/>
  <c r="R838" i="26"/>
  <c r="AA838" i="26" s="1"/>
  <c r="AB838" i="26" s="1"/>
  <c r="AC838" i="26" s="1"/>
  <c r="AD838" i="26" s="1"/>
  <c r="AF838" i="26" s="1"/>
  <c r="R840" i="26"/>
  <c r="AA840" i="26" s="1"/>
  <c r="AB840" i="26" s="1"/>
  <c r="AC840" i="26" s="1"/>
  <c r="AD840" i="26" s="1"/>
  <c r="AF840" i="26" s="1"/>
  <c r="R836" i="26"/>
  <c r="AA836" i="26" s="1"/>
  <c r="AB836" i="26" s="1"/>
  <c r="AC836" i="26" s="1"/>
  <c r="AD836" i="26" s="1"/>
  <c r="AF836" i="26" s="1"/>
  <c r="R825" i="26"/>
  <c r="R821" i="26"/>
  <c r="R829" i="26"/>
  <c r="R819" i="26"/>
  <c r="R827" i="26"/>
  <c r="R691" i="26"/>
  <c r="R674" i="26"/>
  <c r="R676" i="26"/>
  <c r="R684" i="26"/>
  <c r="R680" i="26"/>
  <c r="R682" i="26"/>
  <c r="R686" i="26"/>
  <c r="R643" i="26"/>
  <c r="R664" i="26"/>
  <c r="R637" i="26"/>
  <c r="R649" i="26"/>
  <c r="R657" i="26"/>
  <c r="R635" i="26"/>
  <c r="R639" i="26"/>
  <c r="R665" i="26"/>
  <c r="R647" i="26"/>
  <c r="R656" i="26"/>
  <c r="R641" i="26"/>
  <c r="R648" i="26"/>
  <c r="R655" i="26"/>
  <c r="R670" i="26"/>
  <c r="R566" i="26"/>
  <c r="R564" i="26"/>
  <c r="R594" i="26"/>
  <c r="R609" i="26"/>
  <c r="R572" i="26"/>
  <c r="R582" i="26"/>
  <c r="R574" i="26"/>
  <c r="R588" i="26"/>
  <c r="R611" i="26"/>
  <c r="R626" i="26"/>
  <c r="R568" i="26"/>
  <c r="R586" i="26"/>
  <c r="R596" i="26"/>
  <c r="R576" i="26"/>
  <c r="R592" i="26"/>
  <c r="R613" i="26"/>
  <c r="R628" i="26"/>
  <c r="R578" i="26"/>
  <c r="R570" i="26"/>
  <c r="R590" i="26"/>
  <c r="R580" i="26"/>
  <c r="R615" i="26"/>
  <c r="R622" i="26"/>
  <c r="R630" i="26"/>
  <c r="R584" i="26"/>
  <c r="R617" i="26"/>
  <c r="R623" i="26"/>
  <c r="R624" i="26"/>
  <c r="R533" i="26"/>
  <c r="R537" i="26"/>
  <c r="R501" i="26"/>
  <c r="R503" i="26"/>
  <c r="R551" i="26"/>
  <c r="R555" i="26"/>
  <c r="R516" i="26"/>
  <c r="R499" i="26"/>
  <c r="R545" i="26"/>
  <c r="R523" i="26"/>
  <c r="R525" i="26"/>
  <c r="R505" i="26"/>
  <c r="R531" i="26"/>
  <c r="R539" i="26"/>
  <c r="R549" i="26"/>
  <c r="R553" i="26"/>
  <c r="R557" i="26"/>
  <c r="R524" i="26"/>
  <c r="R515" i="26"/>
  <c r="R535" i="26"/>
  <c r="R559" i="26"/>
  <c r="R509" i="26"/>
  <c r="R517" i="26"/>
  <c r="R497" i="26"/>
  <c r="R543" i="26"/>
  <c r="R547" i="26"/>
  <c r="R495" i="26"/>
  <c r="R346" i="26"/>
  <c r="R340" i="26"/>
  <c r="R342" i="26"/>
  <c r="R303" i="26"/>
  <c r="R318" i="26"/>
  <c r="R319" i="26"/>
  <c r="R326" i="26"/>
  <c r="R324" i="26"/>
  <c r="R309" i="26"/>
  <c r="R305" i="26"/>
  <c r="R332" i="26"/>
  <c r="R338" i="26"/>
  <c r="R344" i="26"/>
  <c r="R327" i="26"/>
  <c r="R311" i="26"/>
  <c r="R336" i="26"/>
  <c r="R333" i="26"/>
  <c r="R301" i="26"/>
  <c r="R307" i="26"/>
  <c r="R316" i="26"/>
  <c r="R173" i="26"/>
  <c r="R154" i="26"/>
  <c r="R162" i="26"/>
  <c r="R170" i="26"/>
  <c r="R157" i="26"/>
  <c r="R165" i="26"/>
  <c r="R158" i="26"/>
  <c r="R166" i="26"/>
  <c r="R169" i="26"/>
  <c r="R153" i="26"/>
  <c r="R161" i="26"/>
  <c r="R152" i="26"/>
  <c r="R148" i="26"/>
  <c r="R140" i="26"/>
  <c r="R142" i="26"/>
  <c r="R147" i="26"/>
  <c r="R144" i="26"/>
  <c r="Q145" i="26"/>
  <c r="Q143" i="26"/>
  <c r="Q141" i="26"/>
  <c r="Q139" i="26"/>
  <c r="Q149" i="26"/>
  <c r="Q135" i="26"/>
  <c r="Q134" i="26"/>
  <c r="P133" i="26"/>
  <c r="Q133" i="26" s="1"/>
  <c r="P131" i="26"/>
  <c r="Q131" i="26" s="1"/>
  <c r="R130" i="26"/>
  <c r="R128" i="26"/>
  <c r="Q119" i="26"/>
  <c r="O78" i="26"/>
  <c r="O77" i="26"/>
  <c r="O72" i="26"/>
  <c r="P72" i="26" s="1"/>
  <c r="O73" i="26"/>
  <c r="P73" i="26" s="1"/>
  <c r="Q73" i="26" s="1"/>
  <c r="O74" i="26"/>
  <c r="P74" i="26" s="1"/>
  <c r="O71" i="26"/>
  <c r="AB83" i="26" l="1"/>
  <c r="AC83" i="26" s="1"/>
  <c r="AD83" i="26" s="1"/>
  <c r="AF83" i="26" s="1"/>
  <c r="AA950" i="26"/>
  <c r="P71" i="26"/>
  <c r="Q71" i="26" s="1"/>
  <c r="R71" i="26" s="1"/>
  <c r="R131" i="26"/>
  <c r="P77" i="26"/>
  <c r="Q77" i="26" s="1"/>
  <c r="N76" i="26"/>
  <c r="N70" i="26"/>
  <c r="R141" i="26"/>
  <c r="R139" i="26"/>
  <c r="R143" i="26"/>
  <c r="R149" i="26"/>
  <c r="R145" i="26"/>
  <c r="R134" i="26"/>
  <c r="AA134" i="26" s="1"/>
  <c r="AB134" i="26" s="1"/>
  <c r="R135" i="26"/>
  <c r="AA135" i="26" s="1"/>
  <c r="AB135" i="26" s="1"/>
  <c r="AC135" i="26" s="1"/>
  <c r="AD135" i="26" s="1"/>
  <c r="AF135" i="26" s="1"/>
  <c r="R133" i="26"/>
  <c r="AA133" i="26" s="1"/>
  <c r="AB133" i="26" s="1"/>
  <c r="R119" i="26"/>
  <c r="P78" i="26"/>
  <c r="Q78" i="26" s="1"/>
  <c r="R73" i="26"/>
  <c r="Q74" i="26"/>
  <c r="Q72" i="26"/>
  <c r="O58" i="26"/>
  <c r="P58" i="26" s="1"/>
  <c r="Q58" i="26" s="1"/>
  <c r="R58" i="26" s="1"/>
  <c r="O59" i="26"/>
  <c r="O60" i="26"/>
  <c r="P60" i="26" s="1"/>
  <c r="O61" i="26"/>
  <c r="P61" i="26" s="1"/>
  <c r="O62" i="26"/>
  <c r="P62" i="26" s="1"/>
  <c r="O63" i="26"/>
  <c r="O65" i="26"/>
  <c r="P65" i="26" s="1"/>
  <c r="O66" i="26"/>
  <c r="P66" i="26" s="1"/>
  <c r="O68" i="26"/>
  <c r="P68" i="26" s="1"/>
  <c r="O69" i="26"/>
  <c r="O39" i="26"/>
  <c r="P39" i="26" s="1"/>
  <c r="O40" i="26"/>
  <c r="P40" i="26" s="1"/>
  <c r="O41" i="26"/>
  <c r="O42" i="26"/>
  <c r="P42" i="26" s="1"/>
  <c r="O43" i="26"/>
  <c r="O44" i="26"/>
  <c r="P44" i="26" s="1"/>
  <c r="O45" i="26"/>
  <c r="O46" i="26"/>
  <c r="P46" i="26" s="1"/>
  <c r="Q46" i="26" s="1"/>
  <c r="O47" i="26"/>
  <c r="O48" i="26"/>
  <c r="P48" i="26" s="1"/>
  <c r="O49" i="26"/>
  <c r="O50" i="26"/>
  <c r="P50" i="26" s="1"/>
  <c r="Q50" i="26" s="1"/>
  <c r="O51" i="26"/>
  <c r="O52" i="26"/>
  <c r="P52" i="26" s="1"/>
  <c r="Q52" i="26" s="1"/>
  <c r="O53" i="26"/>
  <c r="O54" i="26"/>
  <c r="P54" i="26" s="1"/>
  <c r="Q54" i="26" s="1"/>
  <c r="O55" i="26"/>
  <c r="O38" i="26"/>
  <c r="P38" i="26" s="1"/>
  <c r="O12" i="26"/>
  <c r="N10" i="26" s="1"/>
  <c r="Q12" i="26" l="1"/>
  <c r="AA12" i="26" s="1"/>
  <c r="AB12" i="26" s="1"/>
  <c r="Q68" i="26"/>
  <c r="R68" i="26" s="1"/>
  <c r="Q48" i="26"/>
  <c r="R48" i="26" s="1"/>
  <c r="Q66" i="26"/>
  <c r="R66" i="26" s="1"/>
  <c r="Q44" i="26"/>
  <c r="R44" i="26" s="1"/>
  <c r="Q42" i="26"/>
  <c r="R42" i="26" s="1"/>
  <c r="Q40" i="26"/>
  <c r="R40" i="26" s="1"/>
  <c r="N37" i="26"/>
  <c r="Q62" i="26"/>
  <c r="R62" i="26" s="1"/>
  <c r="Q60" i="26"/>
  <c r="R60" i="26" s="1"/>
  <c r="P63" i="26"/>
  <c r="Q63" i="26" s="1"/>
  <c r="R63" i="26" s="1"/>
  <c r="N56" i="26"/>
  <c r="Q61" i="26"/>
  <c r="R61" i="26" s="1"/>
  <c r="P69" i="26"/>
  <c r="Q69" i="26" s="1"/>
  <c r="R69" i="26" s="1"/>
  <c r="Q65" i="26"/>
  <c r="R65" i="26" s="1"/>
  <c r="P59" i="26"/>
  <c r="Q59" i="26" s="1"/>
  <c r="R59" i="26" s="1"/>
  <c r="R78" i="26"/>
  <c r="R77" i="26"/>
  <c r="R72" i="26"/>
  <c r="R74" i="26"/>
  <c r="R46" i="26"/>
  <c r="R50" i="26"/>
  <c r="R54" i="26"/>
  <c r="P51" i="26"/>
  <c r="Q51" i="26" s="1"/>
  <c r="P43" i="26"/>
  <c r="Q43" i="26" s="1"/>
  <c r="P49" i="26"/>
  <c r="Q49" i="26" s="1"/>
  <c r="P53" i="26"/>
  <c r="Q53" i="26" s="1"/>
  <c r="R52" i="26"/>
  <c r="P45" i="26"/>
  <c r="Q45" i="26" s="1"/>
  <c r="P41" i="26"/>
  <c r="Q41" i="26" s="1"/>
  <c r="P55" i="26"/>
  <c r="Q55" i="26" s="1"/>
  <c r="P47" i="26"/>
  <c r="Q47" i="26" s="1"/>
  <c r="Q39" i="26"/>
  <c r="Q38" i="26"/>
  <c r="O897" i="26"/>
  <c r="O898" i="26"/>
  <c r="O899" i="26"/>
  <c r="O903" i="26"/>
  <c r="O904" i="26"/>
  <c r="O905" i="26"/>
  <c r="N895" i="26" l="1"/>
  <c r="R41" i="26"/>
  <c r="R43" i="26"/>
  <c r="R53" i="26"/>
  <c r="R49" i="26"/>
  <c r="R51" i="26"/>
  <c r="R39" i="26"/>
  <c r="R45" i="26"/>
  <c r="R55" i="26"/>
  <c r="R47" i="26"/>
  <c r="R38" i="26"/>
  <c r="P905" i="26"/>
  <c r="P898" i="26"/>
  <c r="Q898" i="26" s="1"/>
  <c r="P899" i="26"/>
  <c r="R898" i="26" l="1"/>
  <c r="P903" i="26"/>
  <c r="Q903" i="26" s="1"/>
  <c r="P897" i="26"/>
  <c r="Q897" i="26" s="1"/>
  <c r="P904" i="26"/>
  <c r="Q904" i="26" s="1"/>
  <c r="Q899" i="26"/>
  <c r="Q905" i="26"/>
  <c r="Q945" i="26"/>
  <c r="E935" i="26"/>
  <c r="L934" i="26"/>
  <c r="M1099" i="26"/>
  <c r="M1100" i="26" s="1"/>
  <c r="O1097" i="26"/>
  <c r="O1096" i="26"/>
  <c r="O1095" i="26"/>
  <c r="O1094" i="26"/>
  <c r="M1094" i="26"/>
  <c r="Q1093" i="26"/>
  <c r="P1093" i="26"/>
  <c r="O1093" i="26"/>
  <c r="O1092" i="26"/>
  <c r="AB950" i="26"/>
  <c r="AA949" i="26"/>
  <c r="AB949" i="26" s="1"/>
  <c r="Z945" i="26"/>
  <c r="Y945" i="26"/>
  <c r="X945" i="26"/>
  <c r="W945" i="26"/>
  <c r="V945" i="26"/>
  <c r="U945" i="26"/>
  <c r="R945" i="26"/>
  <c r="P945" i="26"/>
  <c r="J943" i="26"/>
  <c r="O943" i="26" s="1"/>
  <c r="N943" i="26" s="1"/>
  <c r="E940" i="26"/>
  <c r="J939" i="26"/>
  <c r="L939" i="26" s="1"/>
  <c r="O938" i="26"/>
  <c r="N938" i="26" s="1"/>
  <c r="J938" i="26"/>
  <c r="L938" i="26" s="1"/>
  <c r="E937" i="26"/>
  <c r="J936" i="26"/>
  <c r="L936" i="26" s="1"/>
  <c r="H933" i="26"/>
  <c r="O933" i="26" s="1"/>
  <c r="Q933" i="26" s="1"/>
  <c r="H932" i="26"/>
  <c r="H931" i="26"/>
  <c r="O931" i="26" s="1"/>
  <c r="Q931" i="26" s="1"/>
  <c r="AA931" i="26" s="1"/>
  <c r="AB931" i="26" s="1"/>
  <c r="AC931" i="26" s="1"/>
  <c r="AD931" i="26" s="1"/>
  <c r="AF931" i="26" s="1"/>
  <c r="H930" i="26"/>
  <c r="O930" i="26" s="1"/>
  <c r="H929" i="26"/>
  <c r="O929" i="26" s="1"/>
  <c r="Q929" i="26" s="1"/>
  <c r="AA929" i="26" s="1"/>
  <c r="AB929" i="26" s="1"/>
  <c r="AC929" i="26" s="1"/>
  <c r="AD929" i="26" s="1"/>
  <c r="AF929" i="26" s="1"/>
  <c r="O927" i="26"/>
  <c r="Q927" i="26" s="1"/>
  <c r="AA927" i="26" s="1"/>
  <c r="AB927" i="26" s="1"/>
  <c r="AC927" i="26" s="1"/>
  <c r="AD927" i="26" s="1"/>
  <c r="AF927" i="26" s="1"/>
  <c r="O926" i="26"/>
  <c r="Q926" i="26" s="1"/>
  <c r="AA926" i="26" s="1"/>
  <c r="AB926" i="26" s="1"/>
  <c r="AC926" i="26" s="1"/>
  <c r="AD926" i="26" s="1"/>
  <c r="AF926" i="26" s="1"/>
  <c r="J924" i="26"/>
  <c r="L924" i="26" s="1"/>
  <c r="D922" i="26"/>
  <c r="E922" i="26" s="1"/>
  <c r="J921" i="26"/>
  <c r="L921" i="26" s="1"/>
  <c r="D920" i="26"/>
  <c r="E920" i="26" s="1"/>
  <c r="E919" i="26"/>
  <c r="D918" i="26"/>
  <c r="E918" i="26" s="1"/>
  <c r="D917" i="26"/>
  <c r="E917" i="26" s="1"/>
  <c r="D916" i="26"/>
  <c r="E916" i="26" s="1"/>
  <c r="J915" i="26"/>
  <c r="L915" i="26" s="1"/>
  <c r="D914" i="26"/>
  <c r="E914" i="26" s="1"/>
  <c r="D913" i="26"/>
  <c r="E913" i="26" s="1"/>
  <c r="D912" i="26"/>
  <c r="E912" i="26" s="1"/>
  <c r="E911" i="26"/>
  <c r="D910" i="26"/>
  <c r="E910" i="26" s="1"/>
  <c r="D909" i="26"/>
  <c r="E909" i="26" s="1"/>
  <c r="D908" i="26"/>
  <c r="E908" i="26" s="1"/>
  <c r="D907" i="26"/>
  <c r="E907" i="26" s="1"/>
  <c r="D906" i="26"/>
  <c r="E906" i="26" s="1"/>
  <c r="D905" i="26"/>
  <c r="E905" i="26" s="1"/>
  <c r="D904" i="26"/>
  <c r="E904" i="26" s="1"/>
  <c r="D903" i="26"/>
  <c r="E903" i="26" s="1"/>
  <c r="E901" i="26"/>
  <c r="E900" i="26"/>
  <c r="D899" i="26"/>
  <c r="E899" i="26" s="1"/>
  <c r="D898" i="26"/>
  <c r="E898" i="26" s="1"/>
  <c r="D897" i="26"/>
  <c r="E897" i="26" s="1"/>
  <c r="J895" i="26"/>
  <c r="L895" i="26" s="1"/>
  <c r="H894" i="26"/>
  <c r="H893" i="26"/>
  <c r="H892" i="26"/>
  <c r="M891" i="26"/>
  <c r="J891" i="26"/>
  <c r="I891" i="26"/>
  <c r="H891" i="26"/>
  <c r="M876" i="26"/>
  <c r="N876" i="26" s="1"/>
  <c r="J876" i="26"/>
  <c r="I876" i="26"/>
  <c r="H876" i="26"/>
  <c r="D874" i="26"/>
  <c r="E874" i="26" s="1"/>
  <c r="E873" i="26"/>
  <c r="D872" i="26"/>
  <c r="E872" i="26" s="1"/>
  <c r="D871" i="26"/>
  <c r="E871" i="26" s="1"/>
  <c r="E870" i="26"/>
  <c r="J869" i="26"/>
  <c r="L869" i="26" s="1"/>
  <c r="H868" i="26"/>
  <c r="O868" i="26" s="1"/>
  <c r="H867" i="26"/>
  <c r="O867" i="26" s="1"/>
  <c r="H866" i="26"/>
  <c r="O866" i="26" s="1"/>
  <c r="P866" i="26" s="1"/>
  <c r="Q866" i="26" s="1"/>
  <c r="H865" i="26"/>
  <c r="O865" i="26" s="1"/>
  <c r="P865" i="26" s="1"/>
  <c r="Q865" i="26" s="1"/>
  <c r="H864" i="26"/>
  <c r="O864" i="26" s="1"/>
  <c r="H863" i="26"/>
  <c r="O863" i="26" s="1"/>
  <c r="M862" i="26"/>
  <c r="J862" i="26"/>
  <c r="I862" i="26"/>
  <c r="H862" i="26"/>
  <c r="E861" i="26"/>
  <c r="E860" i="26"/>
  <c r="E859" i="26"/>
  <c r="E858" i="26"/>
  <c r="J857" i="26"/>
  <c r="L857" i="26" s="1"/>
  <c r="E856" i="26"/>
  <c r="E855" i="26"/>
  <c r="E854" i="26"/>
  <c r="E853" i="26"/>
  <c r="E852" i="26"/>
  <c r="E851" i="26"/>
  <c r="E850" i="26"/>
  <c r="E849" i="26"/>
  <c r="E848" i="26"/>
  <c r="E847" i="26"/>
  <c r="E846" i="26"/>
  <c r="E845" i="26"/>
  <c r="E844" i="26"/>
  <c r="E843" i="26"/>
  <c r="J842" i="26"/>
  <c r="L842" i="26" s="1"/>
  <c r="E840" i="26"/>
  <c r="E839" i="26"/>
  <c r="E838" i="26"/>
  <c r="E837" i="26"/>
  <c r="E836" i="26"/>
  <c r="J835" i="26"/>
  <c r="L835" i="26" s="1"/>
  <c r="E831" i="26"/>
  <c r="D830" i="26"/>
  <c r="E830" i="26" s="1"/>
  <c r="D829" i="26"/>
  <c r="E829" i="26" s="1"/>
  <c r="E828" i="26"/>
  <c r="E827" i="26"/>
  <c r="E826" i="26"/>
  <c r="E825" i="26"/>
  <c r="E824" i="26"/>
  <c r="E823" i="26"/>
  <c r="E821" i="26"/>
  <c r="E820" i="26"/>
  <c r="E819" i="26"/>
  <c r="E817" i="26"/>
  <c r="E816" i="26"/>
  <c r="E815" i="26"/>
  <c r="E814" i="26"/>
  <c r="E813" i="26"/>
  <c r="E811" i="26"/>
  <c r="D810" i="26"/>
  <c r="E810" i="26" s="1"/>
  <c r="E809" i="26"/>
  <c r="D808" i="26"/>
  <c r="E808" i="26" s="1"/>
  <c r="J806" i="26"/>
  <c r="L806" i="26" s="1"/>
  <c r="O833" i="26"/>
  <c r="P833" i="26" s="1"/>
  <c r="Q833" i="26" s="1"/>
  <c r="J833" i="26"/>
  <c r="L833" i="26" s="1"/>
  <c r="J705" i="26"/>
  <c r="L705" i="26" s="1"/>
  <c r="D704" i="26"/>
  <c r="E704" i="26" s="1"/>
  <c r="E703" i="26"/>
  <c r="D702" i="26"/>
  <c r="E702" i="26" s="1"/>
  <c r="E701" i="26"/>
  <c r="E700" i="26"/>
  <c r="E698" i="26"/>
  <c r="E696" i="26"/>
  <c r="E695" i="26"/>
  <c r="E694" i="26"/>
  <c r="E693" i="26"/>
  <c r="E692" i="26"/>
  <c r="D691" i="26"/>
  <c r="E691" i="26" s="1"/>
  <c r="D690" i="26"/>
  <c r="E690" i="26" s="1"/>
  <c r="J688" i="26"/>
  <c r="L688" i="26" s="1"/>
  <c r="D687" i="26"/>
  <c r="E687" i="26" s="1"/>
  <c r="E686" i="26"/>
  <c r="D685" i="26"/>
  <c r="E685" i="26" s="1"/>
  <c r="E684" i="26"/>
  <c r="E682" i="26"/>
  <c r="E681" i="26"/>
  <c r="E680" i="26"/>
  <c r="E679" i="26"/>
  <c r="E677" i="26"/>
  <c r="D676" i="26"/>
  <c r="E676" i="26" s="1"/>
  <c r="E675" i="26"/>
  <c r="D674" i="26"/>
  <c r="E674" i="26" s="1"/>
  <c r="D673" i="26"/>
  <c r="E673" i="26" s="1"/>
  <c r="J671" i="26"/>
  <c r="L671" i="26" s="1"/>
  <c r="E670" i="26"/>
  <c r="E668" i="26"/>
  <c r="E667" i="26"/>
  <c r="D666" i="26"/>
  <c r="E666" i="26" s="1"/>
  <c r="E665" i="26"/>
  <c r="D664" i="26"/>
  <c r="E664" i="26" s="1"/>
  <c r="E663" i="26"/>
  <c r="E662" i="26"/>
  <c r="D661" i="26"/>
  <c r="E661" i="26" s="1"/>
  <c r="E658" i="26"/>
  <c r="E657" i="26"/>
  <c r="E656" i="26"/>
  <c r="E655" i="26"/>
  <c r="E654" i="26"/>
  <c r="E653" i="26"/>
  <c r="D652" i="26"/>
  <c r="E652" i="26" s="1"/>
  <c r="D651" i="26"/>
  <c r="E651" i="26" s="1"/>
  <c r="E650" i="26"/>
  <c r="D649" i="26"/>
  <c r="E649" i="26" s="1"/>
  <c r="D648" i="26"/>
  <c r="E648" i="26" s="1"/>
  <c r="E647" i="26"/>
  <c r="E646" i="26"/>
  <c r="E644" i="26"/>
  <c r="E643" i="26"/>
  <c r="D642" i="26"/>
  <c r="E642" i="26" s="1"/>
  <c r="D641" i="26"/>
  <c r="E641" i="26" s="1"/>
  <c r="D640" i="26"/>
  <c r="E640" i="26" s="1"/>
  <c r="D639" i="26"/>
  <c r="E639" i="26" s="1"/>
  <c r="D638" i="26"/>
  <c r="E638" i="26" s="1"/>
  <c r="E637" i="26"/>
  <c r="D636" i="26"/>
  <c r="E636" i="26" s="1"/>
  <c r="D635" i="26"/>
  <c r="E635" i="26" s="1"/>
  <c r="D634" i="26"/>
  <c r="E634" i="26" s="1"/>
  <c r="J632" i="26"/>
  <c r="L632" i="26" s="1"/>
  <c r="E630" i="26"/>
  <c r="E628" i="26"/>
  <c r="E627" i="26"/>
  <c r="D626" i="26"/>
  <c r="E626" i="26" s="1"/>
  <c r="E625" i="26"/>
  <c r="D624" i="26"/>
  <c r="E624" i="26" s="1"/>
  <c r="E623" i="26"/>
  <c r="E622" i="26"/>
  <c r="E621" i="26"/>
  <c r="D620" i="26"/>
  <c r="E620" i="26" s="1"/>
  <c r="E618" i="26"/>
  <c r="E617" i="26"/>
  <c r="D616" i="26"/>
  <c r="E616" i="26" s="1"/>
  <c r="E615" i="26"/>
  <c r="D614" i="26"/>
  <c r="E614" i="26" s="1"/>
  <c r="E613" i="26"/>
  <c r="E612" i="26"/>
  <c r="D611" i="26"/>
  <c r="E611" i="26" s="1"/>
  <c r="E609" i="26"/>
  <c r="E608" i="26"/>
  <c r="D607" i="26"/>
  <c r="E607" i="26" s="1"/>
  <c r="E606" i="26"/>
  <c r="D605" i="26"/>
  <c r="E605" i="26" s="1"/>
  <c r="E604" i="26"/>
  <c r="E603" i="26"/>
  <c r="E602" i="26"/>
  <c r="D601" i="26"/>
  <c r="E601" i="26" s="1"/>
  <c r="E598" i="26"/>
  <c r="E597" i="26"/>
  <c r="E596" i="26"/>
  <c r="E595" i="26"/>
  <c r="E594" i="26"/>
  <c r="E593" i="26"/>
  <c r="E592" i="26"/>
  <c r="E591" i="26"/>
  <c r="E590" i="26"/>
  <c r="E589" i="26"/>
  <c r="D588" i="26"/>
  <c r="E588" i="26" s="1"/>
  <c r="E587" i="26"/>
  <c r="E586" i="26"/>
  <c r="E585" i="26"/>
  <c r="E584" i="26"/>
  <c r="E583" i="26"/>
  <c r="E582" i="26"/>
  <c r="D581" i="26"/>
  <c r="E581" i="26" s="1"/>
  <c r="E580" i="26"/>
  <c r="D579" i="26"/>
  <c r="E579" i="26" s="1"/>
  <c r="E578" i="26"/>
  <c r="D577" i="26"/>
  <c r="E577" i="26" s="1"/>
  <c r="E576" i="26"/>
  <c r="E575" i="26"/>
  <c r="D574" i="26"/>
  <c r="E574" i="26" s="1"/>
  <c r="E572" i="26"/>
  <c r="E571" i="26"/>
  <c r="E570" i="26"/>
  <c r="D569" i="26"/>
  <c r="E569" i="26" s="1"/>
  <c r="D568" i="26"/>
  <c r="E568" i="26" s="1"/>
  <c r="D567" i="26"/>
  <c r="E567" i="26" s="1"/>
  <c r="D566" i="26"/>
  <c r="E566" i="26" s="1"/>
  <c r="E565" i="26"/>
  <c r="D564" i="26"/>
  <c r="E564" i="26" s="1"/>
  <c r="D563" i="26"/>
  <c r="E563" i="26" s="1"/>
  <c r="J561" i="26"/>
  <c r="L561" i="26" s="1"/>
  <c r="E560" i="26"/>
  <c r="D559" i="26"/>
  <c r="E559" i="26" s="1"/>
  <c r="D558" i="26"/>
  <c r="E558" i="26" s="1"/>
  <c r="D557" i="26"/>
  <c r="E557" i="26" s="1"/>
  <c r="D556" i="26"/>
  <c r="E556" i="26" s="1"/>
  <c r="E555" i="26"/>
  <c r="E554" i="26"/>
  <c r="D553" i="26"/>
  <c r="E553" i="26" s="1"/>
  <c r="E551" i="26"/>
  <c r="E550" i="26"/>
  <c r="D549" i="26"/>
  <c r="E549" i="26" s="1"/>
  <c r="D548" i="26"/>
  <c r="E548" i="26" s="1"/>
  <c r="D547" i="26"/>
  <c r="E547" i="26" s="1"/>
  <c r="E546" i="26"/>
  <c r="E545" i="26"/>
  <c r="E544" i="26"/>
  <c r="D543" i="26"/>
  <c r="E543" i="26" s="1"/>
  <c r="D542" i="26"/>
  <c r="E542" i="26" s="1"/>
  <c r="E539" i="26"/>
  <c r="E538" i="26"/>
  <c r="E537" i="26"/>
  <c r="E536" i="26"/>
  <c r="E535" i="26"/>
  <c r="E534" i="26"/>
  <c r="E533" i="26"/>
  <c r="E532" i="26"/>
  <c r="E531" i="26"/>
  <c r="E530" i="26"/>
  <c r="E529" i="26"/>
  <c r="E528" i="26"/>
  <c r="E527" i="26"/>
  <c r="D526" i="26"/>
  <c r="E526" i="26" s="1"/>
  <c r="D525" i="26"/>
  <c r="E525" i="26" s="1"/>
  <c r="D524" i="26"/>
  <c r="E524" i="26" s="1"/>
  <c r="E523" i="26"/>
  <c r="E522" i="26"/>
  <c r="E521" i="26"/>
  <c r="E520" i="26"/>
  <c r="E519" i="26"/>
  <c r="E518" i="26"/>
  <c r="E517" i="26"/>
  <c r="D516" i="26"/>
  <c r="E516" i="26" s="1"/>
  <c r="D515" i="26"/>
  <c r="E515" i="26" s="1"/>
  <c r="E514" i="26"/>
  <c r="E513" i="26"/>
  <c r="E512" i="26"/>
  <c r="E511" i="26"/>
  <c r="E510" i="26"/>
  <c r="E509" i="26"/>
  <c r="E508" i="26"/>
  <c r="E506" i="26"/>
  <c r="E505" i="26"/>
  <c r="E504" i="26"/>
  <c r="E503" i="26"/>
  <c r="D502" i="26"/>
  <c r="E502" i="26" s="1"/>
  <c r="D501" i="26"/>
  <c r="E501" i="26" s="1"/>
  <c r="D500" i="26"/>
  <c r="E500" i="26" s="1"/>
  <c r="D499" i="26"/>
  <c r="E499" i="26" s="1"/>
  <c r="D498" i="26"/>
  <c r="E498" i="26" s="1"/>
  <c r="D497" i="26"/>
  <c r="E497" i="26" s="1"/>
  <c r="D496" i="26"/>
  <c r="E496" i="26" s="1"/>
  <c r="D495" i="26"/>
  <c r="E495" i="26" s="1"/>
  <c r="J493" i="26"/>
  <c r="L493" i="26" s="1"/>
  <c r="J440" i="26"/>
  <c r="L440" i="26" s="1"/>
  <c r="J405" i="26"/>
  <c r="L405" i="26" s="1"/>
  <c r="J352" i="26"/>
  <c r="L352" i="26" s="1"/>
  <c r="E349" i="26"/>
  <c r="D347" i="26"/>
  <c r="E347" i="26" s="1"/>
  <c r="D346" i="26"/>
  <c r="E346" i="26" s="1"/>
  <c r="D345" i="26"/>
  <c r="E345" i="26" s="1"/>
  <c r="D344" i="26"/>
  <c r="E344" i="26" s="1"/>
  <c r="D343" i="26"/>
  <c r="E343" i="26" s="1"/>
  <c r="E342" i="26"/>
  <c r="E341" i="26"/>
  <c r="D340" i="26"/>
  <c r="E340" i="26" s="1"/>
  <c r="D339" i="26"/>
  <c r="E339" i="26" s="1"/>
  <c r="D338" i="26"/>
  <c r="E338" i="26" s="1"/>
  <c r="E337" i="26"/>
  <c r="D336" i="26"/>
  <c r="E336" i="26" s="1"/>
  <c r="D335" i="26"/>
  <c r="E335" i="26" s="1"/>
  <c r="D333" i="26"/>
  <c r="E333" i="26" s="1"/>
  <c r="D332" i="26"/>
  <c r="E332" i="26" s="1"/>
  <c r="D331" i="26"/>
  <c r="E331" i="26" s="1"/>
  <c r="D330" i="26"/>
  <c r="E330" i="26" s="1"/>
  <c r="D329" i="26"/>
  <c r="E329" i="26" s="1"/>
  <c r="E328" i="26"/>
  <c r="D327" i="26"/>
  <c r="E327" i="26" s="1"/>
  <c r="D326" i="26"/>
  <c r="E326" i="26" s="1"/>
  <c r="D324" i="26"/>
  <c r="E324" i="26" s="1"/>
  <c r="D323" i="26"/>
  <c r="E323" i="26" s="1"/>
  <c r="D322" i="26"/>
  <c r="E322" i="26" s="1"/>
  <c r="E321" i="26"/>
  <c r="D320" i="26"/>
  <c r="E320" i="26" s="1"/>
  <c r="E319" i="26"/>
  <c r="D318" i="26"/>
  <c r="E318" i="26" s="1"/>
  <c r="E316" i="26"/>
  <c r="D315" i="26"/>
  <c r="E315" i="26" s="1"/>
  <c r="D314" i="26"/>
  <c r="E314" i="26" s="1"/>
  <c r="D313" i="26"/>
  <c r="E313" i="26" s="1"/>
  <c r="D312" i="26"/>
  <c r="E312" i="26" s="1"/>
  <c r="E311" i="26"/>
  <c r="E310" i="26"/>
  <c r="D309" i="26"/>
  <c r="E309" i="26" s="1"/>
  <c r="D307" i="26"/>
  <c r="E307" i="26" s="1"/>
  <c r="D306" i="26"/>
  <c r="E306" i="26" s="1"/>
  <c r="D305" i="26"/>
  <c r="E305" i="26" s="1"/>
  <c r="D304" i="26"/>
  <c r="E304" i="26" s="1"/>
  <c r="D303" i="26"/>
  <c r="E303" i="26" s="1"/>
  <c r="D302" i="26"/>
  <c r="E302" i="26" s="1"/>
  <c r="E301" i="26"/>
  <c r="E300" i="26"/>
  <c r="D299" i="26"/>
  <c r="E299" i="26" s="1"/>
  <c r="J296" i="26"/>
  <c r="L296" i="26" s="1"/>
  <c r="J176" i="26"/>
  <c r="L176" i="26" s="1"/>
  <c r="E173" i="26"/>
  <c r="E172" i="26"/>
  <c r="E171" i="26"/>
  <c r="E170" i="26"/>
  <c r="E169" i="26"/>
  <c r="E168" i="26"/>
  <c r="E167" i="26"/>
  <c r="E166" i="26"/>
  <c r="D165" i="26"/>
  <c r="E165" i="26" s="1"/>
  <c r="E164" i="26"/>
  <c r="D163" i="26"/>
  <c r="E163" i="26" s="1"/>
  <c r="D162" i="26"/>
  <c r="E162" i="26" s="1"/>
  <c r="D161" i="26"/>
  <c r="E161" i="26" s="1"/>
  <c r="D160" i="26"/>
  <c r="E160" i="26" s="1"/>
  <c r="D159" i="26"/>
  <c r="E159" i="26" s="1"/>
  <c r="E158" i="26"/>
  <c r="E157" i="26"/>
  <c r="E156" i="26"/>
  <c r="D155" i="26"/>
  <c r="E155" i="26" s="1"/>
  <c r="D154" i="26"/>
  <c r="E154" i="26" s="1"/>
  <c r="D153" i="26"/>
  <c r="E153" i="26" s="1"/>
  <c r="D152" i="26"/>
  <c r="E152" i="26" s="1"/>
  <c r="J151" i="26"/>
  <c r="L151" i="26" s="1"/>
  <c r="E150" i="26"/>
  <c r="D149" i="26"/>
  <c r="E149" i="26" s="1"/>
  <c r="D148" i="26"/>
  <c r="E148" i="26" s="1"/>
  <c r="D147" i="26"/>
  <c r="E147" i="26" s="1"/>
  <c r="D146" i="26"/>
  <c r="E146" i="26" s="1"/>
  <c r="D145" i="26"/>
  <c r="E145" i="26" s="1"/>
  <c r="D144" i="26"/>
  <c r="E144" i="26" s="1"/>
  <c r="E143" i="26"/>
  <c r="D142" i="26"/>
  <c r="E142" i="26" s="1"/>
  <c r="E141" i="26"/>
  <c r="D140" i="26"/>
  <c r="E140" i="26" s="1"/>
  <c r="D139" i="26"/>
  <c r="E139" i="26" s="1"/>
  <c r="D138" i="26"/>
  <c r="E138" i="26" s="1"/>
  <c r="J137" i="26"/>
  <c r="L137" i="26" s="1"/>
  <c r="D134" i="26"/>
  <c r="AC134" i="26" s="1"/>
  <c r="AD134" i="26" s="1"/>
  <c r="AF134" i="26" s="1"/>
  <c r="D133" i="26"/>
  <c r="AC133" i="26" s="1"/>
  <c r="AD133" i="26" s="1"/>
  <c r="AF133" i="26" s="1"/>
  <c r="J132" i="26"/>
  <c r="L132" i="26" s="1"/>
  <c r="D131" i="26"/>
  <c r="E131" i="26" s="1"/>
  <c r="D130" i="26"/>
  <c r="E130" i="26" s="1"/>
  <c r="D129" i="26"/>
  <c r="E129" i="26" s="1"/>
  <c r="D128" i="26"/>
  <c r="E128" i="26" s="1"/>
  <c r="H127" i="26"/>
  <c r="O127" i="26" s="1"/>
  <c r="D127" i="26"/>
  <c r="J126" i="26"/>
  <c r="L126" i="26" s="1"/>
  <c r="D125" i="26"/>
  <c r="E125" i="26" s="1"/>
  <c r="D124" i="26"/>
  <c r="E124" i="26" s="1"/>
  <c r="D123" i="26"/>
  <c r="E123" i="26" s="1"/>
  <c r="D121" i="26"/>
  <c r="E121" i="26" s="1"/>
  <c r="D120" i="26"/>
  <c r="E120" i="26" s="1"/>
  <c r="D119" i="26"/>
  <c r="E119" i="26" s="1"/>
  <c r="J117" i="26"/>
  <c r="L117" i="26" s="1"/>
  <c r="E116" i="26"/>
  <c r="J115" i="26"/>
  <c r="L115" i="26" s="1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4" i="26"/>
  <c r="E93" i="26"/>
  <c r="E92" i="26"/>
  <c r="E91" i="26"/>
  <c r="E90" i="26"/>
  <c r="E89" i="26"/>
  <c r="E88" i="26"/>
  <c r="E87" i="26"/>
  <c r="E86" i="26"/>
  <c r="E85" i="26"/>
  <c r="E84" i="26"/>
  <c r="E83" i="26"/>
  <c r="J81" i="26"/>
  <c r="L81" i="26" s="1"/>
  <c r="L80" i="26"/>
  <c r="E80" i="26"/>
  <c r="J79" i="26"/>
  <c r="L79" i="26" s="1"/>
  <c r="E78" i="26"/>
  <c r="E77" i="26"/>
  <c r="J76" i="26"/>
  <c r="L76" i="26" s="1"/>
  <c r="O75" i="26"/>
  <c r="J75" i="26"/>
  <c r="L75" i="26" s="1"/>
  <c r="E74" i="26"/>
  <c r="E73" i="26"/>
  <c r="E72" i="26"/>
  <c r="E71" i="26"/>
  <c r="J70" i="26"/>
  <c r="L70" i="26" s="1"/>
  <c r="E69" i="26"/>
  <c r="E68" i="26"/>
  <c r="E66" i="26"/>
  <c r="E65" i="26"/>
  <c r="E63" i="26"/>
  <c r="E62" i="26"/>
  <c r="E61" i="26"/>
  <c r="E60" i="26"/>
  <c r="E59" i="26"/>
  <c r="E58" i="26"/>
  <c r="J56" i="26"/>
  <c r="L56" i="26" s="1"/>
  <c r="E55" i="26"/>
  <c r="E54" i="26"/>
  <c r="E53" i="26"/>
  <c r="E52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J37" i="26"/>
  <c r="L37" i="26" s="1"/>
  <c r="H35" i="26"/>
  <c r="D35" i="26"/>
  <c r="H34" i="26"/>
  <c r="O34" i="26" s="1"/>
  <c r="D34" i="26"/>
  <c r="H33" i="26"/>
  <c r="O33" i="26" s="1"/>
  <c r="P33" i="26" s="1"/>
  <c r="Q33" i="26" s="1"/>
  <c r="R33" i="26" s="1"/>
  <c r="H32" i="26"/>
  <c r="H31" i="26"/>
  <c r="O31" i="26" s="1"/>
  <c r="P31" i="26" s="1"/>
  <c r="Q31" i="26" s="1"/>
  <c r="R31" i="26" s="1"/>
  <c r="H30" i="26"/>
  <c r="H29" i="26"/>
  <c r="O29" i="26" s="1"/>
  <c r="P29" i="26" s="1"/>
  <c r="Q29" i="26" s="1"/>
  <c r="R29" i="26" s="1"/>
  <c r="H28" i="26"/>
  <c r="D28" i="26"/>
  <c r="H27" i="26"/>
  <c r="O27" i="26" s="1"/>
  <c r="P27" i="26" s="1"/>
  <c r="Q27" i="26" s="1"/>
  <c r="R27" i="26" s="1"/>
  <c r="H26" i="26"/>
  <c r="O26" i="26" s="1"/>
  <c r="D26" i="26"/>
  <c r="H25" i="26"/>
  <c r="O25" i="26" s="1"/>
  <c r="P25" i="26" s="1"/>
  <c r="Q25" i="26" s="1"/>
  <c r="R25" i="26" s="1"/>
  <c r="D25" i="26"/>
  <c r="H24" i="26"/>
  <c r="O24" i="26" s="1"/>
  <c r="D24" i="26"/>
  <c r="H23" i="26"/>
  <c r="O23" i="26" s="1"/>
  <c r="P23" i="26" s="1"/>
  <c r="Q23" i="26" s="1"/>
  <c r="R23" i="26" s="1"/>
  <c r="D23" i="26"/>
  <c r="H22" i="26"/>
  <c r="D22" i="26"/>
  <c r="H21" i="26"/>
  <c r="O21" i="26" s="1"/>
  <c r="P21" i="26" s="1"/>
  <c r="Q21" i="26" s="1"/>
  <c r="R21" i="26" s="1"/>
  <c r="H20" i="26"/>
  <c r="O20" i="26" s="1"/>
  <c r="J19" i="26"/>
  <c r="L19" i="26" s="1"/>
  <c r="H18" i="26"/>
  <c r="O18" i="26" s="1"/>
  <c r="P18" i="26" s="1"/>
  <c r="Q18" i="26" s="1"/>
  <c r="R18" i="26" s="1"/>
  <c r="D18" i="26"/>
  <c r="H17" i="26"/>
  <c r="H16" i="26"/>
  <c r="O16" i="26" s="1"/>
  <c r="H15" i="26"/>
  <c r="D15" i="26"/>
  <c r="H14" i="26"/>
  <c r="O14" i="26" s="1"/>
  <c r="D14" i="26"/>
  <c r="J13" i="26"/>
  <c r="L13" i="26" s="1"/>
  <c r="J10" i="26"/>
  <c r="L10" i="26" s="1"/>
  <c r="AD950" i="26" l="1"/>
  <c r="AF950" i="26" s="1"/>
  <c r="AA945" i="26"/>
  <c r="AA933" i="26"/>
  <c r="AB933" i="26" s="1"/>
  <c r="AC933" i="26" s="1"/>
  <c r="AD933" i="26" s="1"/>
  <c r="AF933" i="26" s="1"/>
  <c r="S5" i="26"/>
  <c r="S898" i="26" s="1"/>
  <c r="E929" i="26"/>
  <c r="E931" i="26"/>
  <c r="E34" i="26"/>
  <c r="X944" i="26"/>
  <c r="X946" i="26" s="1"/>
  <c r="L862" i="26"/>
  <c r="E926" i="26"/>
  <c r="E18" i="26"/>
  <c r="E20" i="26"/>
  <c r="E925" i="26"/>
  <c r="E933" i="26"/>
  <c r="E24" i="26"/>
  <c r="Q938" i="26"/>
  <c r="AA938" i="26" s="1"/>
  <c r="AB938" i="26" s="1"/>
  <c r="AC938" i="26" s="1"/>
  <c r="AD938" i="26" s="1"/>
  <c r="AF938" i="26" s="1"/>
  <c r="AB948" i="26"/>
  <c r="R899" i="26"/>
  <c r="R897" i="26"/>
  <c r="E15" i="26"/>
  <c r="O15" i="26"/>
  <c r="E14" i="26"/>
  <c r="E16" i="26"/>
  <c r="P20" i="26"/>
  <c r="Q20" i="26" s="1"/>
  <c r="E22" i="26"/>
  <c r="O22" i="26"/>
  <c r="P24" i="26"/>
  <c r="Q24" i="26" s="1"/>
  <c r="R24" i="26" s="1"/>
  <c r="E30" i="26"/>
  <c r="O30" i="26"/>
  <c r="P30" i="26" s="1"/>
  <c r="Q30" i="26" s="1"/>
  <c r="E33" i="26"/>
  <c r="P34" i="26"/>
  <c r="Q34" i="26" s="1"/>
  <c r="Q925" i="26"/>
  <c r="AA925" i="26" s="1"/>
  <c r="AB925" i="26" s="1"/>
  <c r="AC925" i="26" s="1"/>
  <c r="AD925" i="26" s="1"/>
  <c r="AF925" i="26" s="1"/>
  <c r="E927" i="26"/>
  <c r="E928" i="26"/>
  <c r="O928" i="26"/>
  <c r="Q928" i="26" s="1"/>
  <c r="AA928" i="26" s="1"/>
  <c r="AB928" i="26" s="1"/>
  <c r="AC928" i="26" s="1"/>
  <c r="AD928" i="26" s="1"/>
  <c r="AF928" i="26" s="1"/>
  <c r="R905" i="26"/>
  <c r="R903" i="26"/>
  <c r="E12" i="26"/>
  <c r="AC12" i="26"/>
  <c r="AD12" i="26" s="1"/>
  <c r="P14" i="26"/>
  <c r="Q14" i="26" s="1"/>
  <c r="P16" i="26"/>
  <c r="E21" i="26"/>
  <c r="E23" i="26"/>
  <c r="P26" i="26"/>
  <c r="Q26" i="26" s="1"/>
  <c r="E28" i="26"/>
  <c r="O28" i="26"/>
  <c r="E31" i="26"/>
  <c r="E932" i="26"/>
  <c r="O932" i="26"/>
  <c r="Q932" i="26" s="1"/>
  <c r="AA932" i="26" s="1"/>
  <c r="AB932" i="26" s="1"/>
  <c r="AC932" i="26" s="1"/>
  <c r="AD932" i="26" s="1"/>
  <c r="AF932" i="26" s="1"/>
  <c r="E17" i="26"/>
  <c r="O17" i="26"/>
  <c r="E25" i="26"/>
  <c r="E27" i="26"/>
  <c r="E29" i="26"/>
  <c r="E35" i="26"/>
  <c r="O35" i="26"/>
  <c r="P35" i="26" s="1"/>
  <c r="Q35" i="26" s="1"/>
  <c r="P127" i="26"/>
  <c r="Q127" i="26" s="1"/>
  <c r="R127" i="26" s="1"/>
  <c r="N126" i="26"/>
  <c r="E930" i="26"/>
  <c r="Q930" i="26"/>
  <c r="AA930" i="26" s="1"/>
  <c r="AB930" i="26" s="1"/>
  <c r="AC930" i="26" s="1"/>
  <c r="AD930" i="26" s="1"/>
  <c r="AF930" i="26" s="1"/>
  <c r="R904" i="26"/>
  <c r="E32" i="26"/>
  <c r="O32" i="26"/>
  <c r="L876" i="26"/>
  <c r="P1094" i="26"/>
  <c r="O1099" i="26"/>
  <c r="O1100" i="26" s="1"/>
  <c r="P864" i="26"/>
  <c r="Q864" i="26" s="1"/>
  <c r="E894" i="26"/>
  <c r="O894" i="26"/>
  <c r="P894" i="26" s="1"/>
  <c r="Q894" i="26" s="1"/>
  <c r="R865" i="26"/>
  <c r="R866" i="26"/>
  <c r="E892" i="26"/>
  <c r="O892" i="26"/>
  <c r="P868" i="26"/>
  <c r="Q868" i="26" s="1"/>
  <c r="P863" i="26"/>
  <c r="Q863" i="26" s="1"/>
  <c r="N862" i="26"/>
  <c r="P867" i="26"/>
  <c r="Q867" i="26" s="1"/>
  <c r="E893" i="26"/>
  <c r="O893" i="26"/>
  <c r="P893" i="26" s="1"/>
  <c r="Q893" i="26" s="1"/>
  <c r="AA948" i="26"/>
  <c r="N833" i="26"/>
  <c r="R833" i="26"/>
  <c r="AA833" i="26" s="1"/>
  <c r="AB833" i="26" s="1"/>
  <c r="AC833" i="26" s="1"/>
  <c r="AD833" i="26" s="1"/>
  <c r="AF833" i="26" s="1"/>
  <c r="N75" i="26"/>
  <c r="P75" i="26"/>
  <c r="E127" i="26"/>
  <c r="L891" i="26"/>
  <c r="Q943" i="26"/>
  <c r="AA943" i="26" s="1"/>
  <c r="E26" i="26"/>
  <c r="M1091" i="26"/>
  <c r="Z944" i="26"/>
  <c r="Z946" i="26" s="1"/>
  <c r="M944" i="26"/>
  <c r="M1090" i="26" s="1"/>
  <c r="AD948" i="26" l="1"/>
  <c r="AF12" i="26"/>
  <c r="R14" i="26"/>
  <c r="S897" i="26"/>
  <c r="S903" i="26"/>
  <c r="S904" i="26"/>
  <c r="S899" i="26"/>
  <c r="S905" i="26"/>
  <c r="AF948" i="26"/>
  <c r="M1095" i="26"/>
  <c r="M1096" i="26" s="1"/>
  <c r="N1096" i="26" s="1"/>
  <c r="M1093" i="26"/>
  <c r="N1093" i="26" s="1"/>
  <c r="AB943" i="26"/>
  <c r="AC943" i="26" s="1"/>
  <c r="Q16" i="26"/>
  <c r="R26" i="26"/>
  <c r="R35" i="26"/>
  <c r="P28" i="26"/>
  <c r="Q28" i="26" s="1"/>
  <c r="R30" i="26"/>
  <c r="P22" i="26"/>
  <c r="Q22" i="26" s="1"/>
  <c r="P17" i="26"/>
  <c r="Q17" i="26" s="1"/>
  <c r="R17" i="26" s="1"/>
  <c r="N13" i="26"/>
  <c r="R34" i="26"/>
  <c r="P32" i="26"/>
  <c r="Q32" i="26" s="1"/>
  <c r="R20" i="26"/>
  <c r="P15" i="26"/>
  <c r="Q15" i="26" s="1"/>
  <c r="N924" i="26"/>
  <c r="N19" i="26"/>
  <c r="R868" i="26"/>
  <c r="R867" i="26"/>
  <c r="N891" i="26"/>
  <c r="P892" i="26"/>
  <c r="Q892" i="26" s="1"/>
  <c r="V5" i="26" s="1"/>
  <c r="R894" i="26"/>
  <c r="R893" i="26"/>
  <c r="R863" i="26"/>
  <c r="R864" i="26"/>
  <c r="O944" i="26"/>
  <c r="N945" i="26" s="1"/>
  <c r="M945" i="26"/>
  <c r="AF876" i="26"/>
  <c r="AB945" i="26"/>
  <c r="Q75" i="26"/>
  <c r="AD943" i="26" l="1"/>
  <c r="AF943" i="26" s="1"/>
  <c r="U4" i="26"/>
  <c r="U897" i="26" s="1"/>
  <c r="V4" i="26"/>
  <c r="V919" i="26" s="1"/>
  <c r="S944" i="26"/>
  <c r="T7" i="26"/>
  <c r="T16" i="26" s="1"/>
  <c r="W442" i="26"/>
  <c r="W480" i="26"/>
  <c r="W479" i="26"/>
  <c r="W482" i="26"/>
  <c r="W449" i="26"/>
  <c r="W444" i="26"/>
  <c r="W448" i="26"/>
  <c r="W481" i="26"/>
  <c r="W445" i="26"/>
  <c r="W462" i="26"/>
  <c r="W453" i="26"/>
  <c r="W456" i="26"/>
  <c r="W459" i="26"/>
  <c r="W478" i="26"/>
  <c r="W471" i="26"/>
  <c r="W454" i="26"/>
  <c r="W476" i="26"/>
  <c r="W473" i="26"/>
  <c r="W487" i="26"/>
  <c r="W470" i="26"/>
  <c r="W458" i="26"/>
  <c r="W461" i="26"/>
  <c r="W464" i="26"/>
  <c r="W467" i="26"/>
  <c r="W450" i="26"/>
  <c r="W486" i="26"/>
  <c r="W465" i="26"/>
  <c r="W483" i="26"/>
  <c r="W488" i="26"/>
  <c r="W474" i="26"/>
  <c r="W489" i="26"/>
  <c r="W484" i="26"/>
  <c r="W457" i="26"/>
  <c r="W466" i="26"/>
  <c r="W469" i="26"/>
  <c r="W472" i="26"/>
  <c r="W475" i="26"/>
  <c r="W485" i="26"/>
  <c r="W452" i="26"/>
  <c r="W490" i="26"/>
  <c r="W468" i="26"/>
  <c r="W491" i="26"/>
  <c r="W443" i="26"/>
  <c r="W446" i="26"/>
  <c r="W460" i="26"/>
  <c r="W451" i="26"/>
  <c r="U442" i="26"/>
  <c r="U481" i="26"/>
  <c r="U449" i="26"/>
  <c r="U445" i="26"/>
  <c r="U444" i="26"/>
  <c r="U448" i="26"/>
  <c r="U482" i="26"/>
  <c r="U479" i="26"/>
  <c r="U480" i="26"/>
  <c r="U473" i="26"/>
  <c r="U484" i="26"/>
  <c r="U470" i="26"/>
  <c r="U458" i="26"/>
  <c r="U461" i="26"/>
  <c r="U464" i="26"/>
  <c r="U467" i="26"/>
  <c r="U485" i="26"/>
  <c r="U450" i="26"/>
  <c r="U490" i="26"/>
  <c r="U465" i="26"/>
  <c r="U491" i="26"/>
  <c r="U443" i="26"/>
  <c r="U453" i="26"/>
  <c r="U456" i="26"/>
  <c r="U488" i="26"/>
  <c r="U457" i="26"/>
  <c r="U466" i="26"/>
  <c r="U469" i="26"/>
  <c r="U472" i="26"/>
  <c r="U475" i="26"/>
  <c r="U489" i="26"/>
  <c r="U468" i="26"/>
  <c r="U487" i="26"/>
  <c r="U459" i="26"/>
  <c r="U471" i="26"/>
  <c r="U454" i="26"/>
  <c r="U476" i="26"/>
  <c r="U483" i="26"/>
  <c r="U460" i="26"/>
  <c r="U474" i="26"/>
  <c r="U451" i="26"/>
  <c r="U478" i="26"/>
  <c r="U452" i="26"/>
  <c r="U462" i="26"/>
  <c r="U486" i="26"/>
  <c r="U446" i="26"/>
  <c r="V442" i="26"/>
  <c r="V482" i="26"/>
  <c r="V445" i="26"/>
  <c r="V481" i="26"/>
  <c r="V448" i="26"/>
  <c r="V480" i="26"/>
  <c r="V479" i="26"/>
  <c r="V449" i="26"/>
  <c r="V444" i="26"/>
  <c r="V473" i="26"/>
  <c r="V487" i="26"/>
  <c r="V470" i="26"/>
  <c r="V458" i="26"/>
  <c r="V461" i="26"/>
  <c r="V464" i="26"/>
  <c r="V467" i="26"/>
  <c r="V450" i="26"/>
  <c r="V486" i="26"/>
  <c r="V465" i="26"/>
  <c r="V483" i="26"/>
  <c r="V446" i="26"/>
  <c r="V462" i="26"/>
  <c r="V459" i="26"/>
  <c r="V478" i="26"/>
  <c r="V454" i="26"/>
  <c r="V484" i="26"/>
  <c r="V457" i="26"/>
  <c r="V466" i="26"/>
  <c r="V469" i="26"/>
  <c r="V472" i="26"/>
  <c r="V475" i="26"/>
  <c r="V485" i="26"/>
  <c r="V452" i="26"/>
  <c r="V490" i="26"/>
  <c r="V468" i="26"/>
  <c r="V491" i="26"/>
  <c r="V456" i="26"/>
  <c r="V443" i="26"/>
  <c r="V488" i="26"/>
  <c r="V460" i="26"/>
  <c r="V474" i="26"/>
  <c r="V451" i="26"/>
  <c r="V489" i="26"/>
  <c r="V476" i="26"/>
  <c r="V453" i="26"/>
  <c r="V471" i="26"/>
  <c r="U407" i="26"/>
  <c r="U431" i="26"/>
  <c r="U428" i="26"/>
  <c r="U423" i="26"/>
  <c r="U419" i="26"/>
  <c r="U436" i="26"/>
  <c r="U408" i="26"/>
  <c r="U427" i="26"/>
  <c r="U412" i="26"/>
  <c r="U415" i="26"/>
  <c r="U435" i="26"/>
  <c r="U424" i="26"/>
  <c r="U439" i="26"/>
  <c r="U416" i="26"/>
  <c r="U420" i="26"/>
  <c r="U413" i="26"/>
  <c r="U410" i="26"/>
  <c r="U418" i="26"/>
  <c r="U417" i="26"/>
  <c r="U433" i="26"/>
  <c r="U425" i="26"/>
  <c r="U437" i="26"/>
  <c r="U429" i="26"/>
  <c r="U421" i="26"/>
  <c r="U422" i="26"/>
  <c r="U434" i="26"/>
  <c r="U409" i="26"/>
  <c r="U430" i="26"/>
  <c r="V407" i="26"/>
  <c r="V423" i="26"/>
  <c r="V439" i="26"/>
  <c r="V435" i="26"/>
  <c r="V424" i="26"/>
  <c r="V427" i="26"/>
  <c r="V420" i="26"/>
  <c r="V412" i="26"/>
  <c r="V415" i="26"/>
  <c r="V419" i="26"/>
  <c r="V431" i="26"/>
  <c r="V416" i="26"/>
  <c r="V436" i="26"/>
  <c r="V408" i="26"/>
  <c r="V428" i="26"/>
  <c r="V413" i="26"/>
  <c r="V430" i="26"/>
  <c r="V434" i="26"/>
  <c r="V429" i="26"/>
  <c r="V422" i="26"/>
  <c r="V410" i="26"/>
  <c r="V433" i="26"/>
  <c r="V437" i="26"/>
  <c r="V421" i="26"/>
  <c r="V409" i="26"/>
  <c r="V425" i="26"/>
  <c r="V418" i="26"/>
  <c r="V417" i="26"/>
  <c r="W399" i="26"/>
  <c r="W400" i="26"/>
  <c r="W379" i="26"/>
  <c r="W383" i="26"/>
  <c r="W371" i="26"/>
  <c r="W403" i="26"/>
  <c r="W384" i="26"/>
  <c r="W377" i="26"/>
  <c r="W401" i="26"/>
  <c r="W392" i="26"/>
  <c r="W359" i="26"/>
  <c r="W370" i="26"/>
  <c r="W380" i="26"/>
  <c r="W364" i="26"/>
  <c r="W363" i="26"/>
  <c r="W361" i="26"/>
  <c r="W394" i="26"/>
  <c r="W367" i="26"/>
  <c r="W387" i="26"/>
  <c r="W365" i="26"/>
  <c r="W355" i="26"/>
  <c r="W388" i="26"/>
  <c r="W374" i="26"/>
  <c r="W396" i="26"/>
  <c r="W375" i="26"/>
  <c r="W391" i="26"/>
  <c r="W385" i="26"/>
  <c r="W356" i="26"/>
  <c r="W378" i="26"/>
  <c r="W389" i="26"/>
  <c r="W354" i="26"/>
  <c r="W381" i="26"/>
  <c r="W398" i="26"/>
  <c r="W369" i="26"/>
  <c r="W373" i="26"/>
  <c r="W397" i="26"/>
  <c r="W366" i="26"/>
  <c r="W404" i="26"/>
  <c r="W395" i="26"/>
  <c r="W372" i="26"/>
  <c r="W386" i="26"/>
  <c r="W357" i="26"/>
  <c r="W402" i="26"/>
  <c r="W362" i="26"/>
  <c r="W393" i="26"/>
  <c r="W358" i="26"/>
  <c r="W382" i="26"/>
  <c r="V397" i="26"/>
  <c r="V402" i="26"/>
  <c r="V399" i="26"/>
  <c r="V404" i="26"/>
  <c r="V403" i="26"/>
  <c r="V367" i="26"/>
  <c r="V365" i="26"/>
  <c r="V386" i="26"/>
  <c r="V387" i="26"/>
  <c r="V381" i="26"/>
  <c r="V374" i="26"/>
  <c r="V394" i="26"/>
  <c r="V382" i="26"/>
  <c r="V373" i="26"/>
  <c r="V370" i="26"/>
  <c r="V366" i="26"/>
  <c r="V389" i="26"/>
  <c r="V383" i="26"/>
  <c r="V393" i="26"/>
  <c r="V400" i="26"/>
  <c r="V398" i="26"/>
  <c r="V379" i="26"/>
  <c r="V371" i="26"/>
  <c r="V369" i="26"/>
  <c r="V378" i="26"/>
  <c r="V388" i="26"/>
  <c r="V372" i="26"/>
  <c r="V395" i="26"/>
  <c r="V385" i="26"/>
  <c r="V396" i="26"/>
  <c r="V375" i="26"/>
  <c r="V377" i="26"/>
  <c r="V391" i="26"/>
  <c r="V384" i="26"/>
  <c r="V401" i="26"/>
  <c r="V380" i="26"/>
  <c r="V364" i="26"/>
  <c r="V363" i="26"/>
  <c r="V392" i="26"/>
  <c r="U383" i="26"/>
  <c r="U389" i="26"/>
  <c r="U366" i="26"/>
  <c r="U393" i="26"/>
  <c r="U379" i="26"/>
  <c r="U398" i="26"/>
  <c r="U369" i="26"/>
  <c r="U378" i="26"/>
  <c r="U402" i="26"/>
  <c r="U399" i="26"/>
  <c r="U403" i="26"/>
  <c r="U400" i="26"/>
  <c r="U387" i="26"/>
  <c r="U365" i="26"/>
  <c r="U386" i="26"/>
  <c r="U381" i="26"/>
  <c r="U374" i="26"/>
  <c r="U371" i="26"/>
  <c r="U394" i="26"/>
  <c r="U404" i="26"/>
  <c r="U382" i="26"/>
  <c r="U373" i="26"/>
  <c r="U370" i="26"/>
  <c r="U367" i="26"/>
  <c r="U397" i="26"/>
  <c r="U384" i="26"/>
  <c r="U375" i="26"/>
  <c r="U391" i="26"/>
  <c r="U401" i="26"/>
  <c r="U380" i="26"/>
  <c r="U364" i="26"/>
  <c r="U392" i="26"/>
  <c r="U388" i="26"/>
  <c r="U372" i="26"/>
  <c r="U363" i="26"/>
  <c r="U385" i="26"/>
  <c r="U396" i="26"/>
  <c r="U377" i="26"/>
  <c r="U395" i="26"/>
  <c r="V361" i="26"/>
  <c r="V362" i="26"/>
  <c r="U361" i="26"/>
  <c r="U362" i="26"/>
  <c r="V357" i="26"/>
  <c r="V358" i="26"/>
  <c r="V359" i="26"/>
  <c r="V356" i="26"/>
  <c r="U359" i="26"/>
  <c r="U358" i="26"/>
  <c r="U357" i="26"/>
  <c r="U356" i="26"/>
  <c r="V355" i="26"/>
  <c r="V354" i="26"/>
  <c r="U354" i="26"/>
  <c r="U355" i="26"/>
  <c r="AF949" i="26"/>
  <c r="N944" i="26"/>
  <c r="R16" i="26"/>
  <c r="R15" i="26"/>
  <c r="R28" i="26"/>
  <c r="R22" i="26"/>
  <c r="R32" i="26"/>
  <c r="P944" i="26"/>
  <c r="R892" i="26"/>
  <c r="W168" i="26"/>
  <c r="W167" i="26"/>
  <c r="W171" i="26"/>
  <c r="W163" i="26"/>
  <c r="W172" i="26"/>
  <c r="W164" i="26"/>
  <c r="W159" i="26"/>
  <c r="W155" i="26"/>
  <c r="W160" i="26"/>
  <c r="W156" i="26"/>
  <c r="W173" i="26"/>
  <c r="W162" i="26"/>
  <c r="W158" i="26"/>
  <c r="W169" i="26"/>
  <c r="W161" i="26"/>
  <c r="W154" i="26"/>
  <c r="W153" i="26"/>
  <c r="W165" i="26"/>
  <c r="W157" i="26"/>
  <c r="W170" i="26"/>
  <c r="W166" i="26"/>
  <c r="W152" i="26"/>
  <c r="O1101" i="26"/>
  <c r="O946" i="26"/>
  <c r="R75" i="26"/>
  <c r="AA75" i="26" s="1"/>
  <c r="AB75" i="26" s="1"/>
  <c r="AC75" i="26" s="1"/>
  <c r="AD75" i="26" s="1"/>
  <c r="AF75" i="26" s="1"/>
  <c r="T899" i="26" l="1"/>
  <c r="T448" i="26"/>
  <c r="T361" i="26"/>
  <c r="T246" i="26"/>
  <c r="T354" i="26"/>
  <c r="T131" i="26"/>
  <c r="T898" i="26"/>
  <c r="T897" i="26"/>
  <c r="T905" i="26"/>
  <c r="T904" i="26"/>
  <c r="T903" i="26"/>
  <c r="V784" i="26"/>
  <c r="V788" i="26"/>
  <c r="V792" i="26"/>
  <c r="V754" i="26"/>
  <c r="V787" i="26"/>
  <c r="V791" i="26"/>
  <c r="V786" i="26"/>
  <c r="V790" i="26"/>
  <c r="V789" i="26"/>
  <c r="V803" i="26"/>
  <c r="V802" i="26"/>
  <c r="V805" i="26"/>
  <c r="V759" i="26"/>
  <c r="V755" i="26"/>
  <c r="V775" i="26"/>
  <c r="V756" i="26"/>
  <c r="V772" i="26"/>
  <c r="V774" i="26"/>
  <c r="V771" i="26"/>
  <c r="V795" i="26"/>
  <c r="V800" i="26"/>
  <c r="V758" i="26"/>
  <c r="V757" i="26"/>
  <c r="V773" i="26"/>
  <c r="V760" i="26"/>
  <c r="V776" i="26"/>
  <c r="V767" i="26"/>
  <c r="V778" i="26"/>
  <c r="V793" i="26"/>
  <c r="V779" i="26"/>
  <c r="V770" i="26"/>
  <c r="V761" i="26"/>
  <c r="V764" i="26"/>
  <c r="V780" i="26"/>
  <c r="V783" i="26"/>
  <c r="V794" i="26"/>
  <c r="V799" i="26"/>
  <c r="V766" i="26"/>
  <c r="V763" i="26"/>
  <c r="V782" i="26"/>
  <c r="V798" i="26"/>
  <c r="V765" i="26"/>
  <c r="V781" i="26"/>
  <c r="V768" i="26"/>
  <c r="V796" i="26"/>
  <c r="W754" i="26"/>
  <c r="W802" i="26"/>
  <c r="W787" i="26"/>
  <c r="W786" i="26"/>
  <c r="W784" i="26"/>
  <c r="W792" i="26"/>
  <c r="W803" i="26"/>
  <c r="W791" i="26"/>
  <c r="W790" i="26"/>
  <c r="W789" i="26"/>
  <c r="W788" i="26"/>
  <c r="W805" i="26"/>
  <c r="W766" i="26"/>
  <c r="W763" i="26"/>
  <c r="W782" i="26"/>
  <c r="W798" i="26"/>
  <c r="W765" i="26"/>
  <c r="W781" i="26"/>
  <c r="W768" i="26"/>
  <c r="W759" i="26"/>
  <c r="W755" i="26"/>
  <c r="W795" i="26"/>
  <c r="W775" i="26"/>
  <c r="W756" i="26"/>
  <c r="W772" i="26"/>
  <c r="W774" i="26"/>
  <c r="W793" i="26"/>
  <c r="W771" i="26"/>
  <c r="W800" i="26"/>
  <c r="W758" i="26"/>
  <c r="W757" i="26"/>
  <c r="W773" i="26"/>
  <c r="W760" i="26"/>
  <c r="W776" i="26"/>
  <c r="W767" i="26"/>
  <c r="W783" i="26"/>
  <c r="W778" i="26"/>
  <c r="W794" i="26"/>
  <c r="W799" i="26"/>
  <c r="W779" i="26"/>
  <c r="W770" i="26"/>
  <c r="W761" i="26"/>
  <c r="W764" i="26"/>
  <c r="W780" i="26"/>
  <c r="W796" i="26"/>
  <c r="U805" i="26"/>
  <c r="U754" i="26"/>
  <c r="U803" i="26"/>
  <c r="U792" i="26"/>
  <c r="U791" i="26"/>
  <c r="U790" i="26"/>
  <c r="U789" i="26"/>
  <c r="U788" i="26"/>
  <c r="U787" i="26"/>
  <c r="U786" i="26"/>
  <c r="AF785" i="26"/>
  <c r="U784" i="26"/>
  <c r="U802" i="26"/>
  <c r="U771" i="26"/>
  <c r="U795" i="26"/>
  <c r="U770" i="26"/>
  <c r="U798" i="26"/>
  <c r="U757" i="26"/>
  <c r="U773" i="26"/>
  <c r="U764" i="26"/>
  <c r="U780" i="26"/>
  <c r="U767" i="26"/>
  <c r="AF804" i="26"/>
  <c r="U793" i="26"/>
  <c r="U779" i="26"/>
  <c r="U766" i="26"/>
  <c r="U782" i="26"/>
  <c r="U761" i="26"/>
  <c r="U768" i="26"/>
  <c r="U783" i="26"/>
  <c r="U794" i="26"/>
  <c r="U799" i="26"/>
  <c r="U800" i="26"/>
  <c r="U763" i="26"/>
  <c r="U765" i="26"/>
  <c r="U781" i="26"/>
  <c r="U756" i="26"/>
  <c r="U772" i="26"/>
  <c r="U796" i="26"/>
  <c r="U774" i="26"/>
  <c r="U759" i="26"/>
  <c r="U755" i="26"/>
  <c r="U775" i="26"/>
  <c r="U758" i="26"/>
  <c r="U760" i="26"/>
  <c r="U776" i="26"/>
  <c r="U778" i="26"/>
  <c r="W721" i="26"/>
  <c r="W714" i="26"/>
  <c r="W722" i="26"/>
  <c r="W707" i="26"/>
  <c r="W708" i="26"/>
  <c r="W716" i="26"/>
  <c r="W742" i="26"/>
  <c r="W734" i="26"/>
  <c r="W726" i="26"/>
  <c r="W723" i="26"/>
  <c r="W715" i="26"/>
  <c r="W738" i="26"/>
  <c r="W741" i="26"/>
  <c r="W737" i="26"/>
  <c r="W748" i="26"/>
  <c r="W717" i="26"/>
  <c r="W730" i="26"/>
  <c r="W745" i="26"/>
  <c r="W732" i="26"/>
  <c r="W724" i="26"/>
  <c r="W719" i="26"/>
  <c r="W744" i="26"/>
  <c r="W709" i="26"/>
  <c r="W718" i="26"/>
  <c r="W710" i="26"/>
  <c r="W712" i="26"/>
  <c r="W711" i="26"/>
  <c r="W740" i="26"/>
  <c r="W727" i="26"/>
  <c r="W743" i="26"/>
  <c r="W739" i="26"/>
  <c r="W747" i="26"/>
  <c r="W749" i="26"/>
  <c r="W725" i="26"/>
  <c r="W751" i="26"/>
  <c r="W735" i="26"/>
  <c r="W729" i="26"/>
  <c r="W731" i="26"/>
  <c r="W733" i="26"/>
  <c r="V707" i="26"/>
  <c r="V734" i="26"/>
  <c r="V726" i="26"/>
  <c r="V745" i="26"/>
  <c r="V712" i="26"/>
  <c r="V740" i="26"/>
  <c r="V721" i="26"/>
  <c r="V742" i="26"/>
  <c r="V738" i="26"/>
  <c r="V718" i="26"/>
  <c r="V710" i="26"/>
  <c r="V714" i="26"/>
  <c r="V709" i="26"/>
  <c r="V732" i="26"/>
  <c r="V724" i="26"/>
  <c r="V719" i="26"/>
  <c r="V730" i="26"/>
  <c r="V722" i="26"/>
  <c r="V717" i="26"/>
  <c r="V748" i="26"/>
  <c r="V716" i="26"/>
  <c r="V711" i="26"/>
  <c r="V723" i="26"/>
  <c r="V715" i="26"/>
  <c r="V741" i="26"/>
  <c r="V737" i="26"/>
  <c r="V744" i="26"/>
  <c r="V708" i="26"/>
  <c r="V735" i="26"/>
  <c r="V743" i="26"/>
  <c r="V731" i="26"/>
  <c r="V749" i="26"/>
  <c r="V725" i="26"/>
  <c r="V751" i="26"/>
  <c r="V727" i="26"/>
  <c r="V729" i="26"/>
  <c r="V739" i="26"/>
  <c r="V747" i="26"/>
  <c r="V733" i="26"/>
  <c r="U707" i="26"/>
  <c r="U740" i="26"/>
  <c r="U744" i="26"/>
  <c r="U724" i="26"/>
  <c r="U732" i="26"/>
  <c r="U748" i="26"/>
  <c r="U742" i="26"/>
  <c r="U738" i="26"/>
  <c r="U741" i="26"/>
  <c r="U722" i="26"/>
  <c r="U717" i="26"/>
  <c r="U716" i="26"/>
  <c r="U711" i="26"/>
  <c r="U737" i="26"/>
  <c r="U730" i="26"/>
  <c r="U745" i="26"/>
  <c r="U723" i="26"/>
  <c r="U715" i="26"/>
  <c r="U708" i="26"/>
  <c r="U712" i="26"/>
  <c r="U721" i="26"/>
  <c r="U734" i="26"/>
  <c r="U726" i="26"/>
  <c r="U718" i="26"/>
  <c r="U710" i="26"/>
  <c r="U714" i="26"/>
  <c r="U709" i="26"/>
  <c r="U719" i="26"/>
  <c r="U729" i="26"/>
  <c r="U749" i="26"/>
  <c r="U733" i="26"/>
  <c r="U751" i="26"/>
  <c r="U735" i="26"/>
  <c r="U743" i="26"/>
  <c r="U731" i="26"/>
  <c r="U725" i="26"/>
  <c r="U727" i="26"/>
  <c r="U739" i="26"/>
  <c r="U747" i="26"/>
  <c r="Y442" i="26"/>
  <c r="AA442" i="26" s="1"/>
  <c r="AB442" i="26" s="1"/>
  <c r="AC442" i="26" s="1"/>
  <c r="AD442" i="26" s="1"/>
  <c r="AF442" i="26" s="1"/>
  <c r="Y479" i="26"/>
  <c r="AA479" i="26" s="1"/>
  <c r="AB479" i="26" s="1"/>
  <c r="AC479" i="26" s="1"/>
  <c r="AD479" i="26" s="1"/>
  <c r="AF479" i="26" s="1"/>
  <c r="Y480" i="26"/>
  <c r="AA480" i="26" s="1"/>
  <c r="AB480" i="26" s="1"/>
  <c r="AC480" i="26" s="1"/>
  <c r="AD480" i="26" s="1"/>
  <c r="AF480" i="26" s="1"/>
  <c r="Y448" i="26"/>
  <c r="Y445" i="26"/>
  <c r="AA445" i="26" s="1"/>
  <c r="AB445" i="26" s="1"/>
  <c r="AC445" i="26" s="1"/>
  <c r="AD445" i="26" s="1"/>
  <c r="AF445" i="26" s="1"/>
  <c r="Y482" i="26"/>
  <c r="AA482" i="26" s="1"/>
  <c r="AB482" i="26" s="1"/>
  <c r="AC482" i="26" s="1"/>
  <c r="AD482" i="26" s="1"/>
  <c r="AF482" i="26" s="1"/>
  <c r="Y449" i="26"/>
  <c r="AA449" i="26" s="1"/>
  <c r="AB449" i="26" s="1"/>
  <c r="AC449" i="26" s="1"/>
  <c r="AD449" i="26" s="1"/>
  <c r="AF449" i="26" s="1"/>
  <c r="Y444" i="26"/>
  <c r="AA444" i="26" s="1"/>
  <c r="AB444" i="26" s="1"/>
  <c r="AC444" i="26" s="1"/>
  <c r="AD444" i="26" s="1"/>
  <c r="AF444" i="26" s="1"/>
  <c r="Y481" i="26"/>
  <c r="AA481" i="26" s="1"/>
  <c r="AB481" i="26" s="1"/>
  <c r="AC481" i="26" s="1"/>
  <c r="AD481" i="26" s="1"/>
  <c r="AF481" i="26" s="1"/>
  <c r="Y488" i="26"/>
  <c r="AA488" i="26" s="1"/>
  <c r="AB488" i="26" s="1"/>
  <c r="AC488" i="26" s="1"/>
  <c r="AD488" i="26" s="1"/>
  <c r="AF488" i="26" s="1"/>
  <c r="Y457" i="26"/>
  <c r="AA457" i="26" s="1"/>
  <c r="AB457" i="26" s="1"/>
  <c r="AC457" i="26" s="1"/>
  <c r="AD457" i="26" s="1"/>
  <c r="AF457" i="26" s="1"/>
  <c r="Y466" i="26"/>
  <c r="AA466" i="26" s="1"/>
  <c r="AB466" i="26" s="1"/>
  <c r="AC466" i="26" s="1"/>
  <c r="AD466" i="26" s="1"/>
  <c r="AF466" i="26" s="1"/>
  <c r="Y469" i="26"/>
  <c r="AA469" i="26" s="1"/>
  <c r="AB469" i="26" s="1"/>
  <c r="AC469" i="26" s="1"/>
  <c r="AD469" i="26" s="1"/>
  <c r="AF469" i="26" s="1"/>
  <c r="Y472" i="26"/>
  <c r="AA472" i="26" s="1"/>
  <c r="AB472" i="26" s="1"/>
  <c r="AC472" i="26" s="1"/>
  <c r="AD472" i="26" s="1"/>
  <c r="AF472" i="26" s="1"/>
  <c r="Y475" i="26"/>
  <c r="AA475" i="26" s="1"/>
  <c r="AB475" i="26" s="1"/>
  <c r="AC475" i="26" s="1"/>
  <c r="AD475" i="26" s="1"/>
  <c r="AF475" i="26" s="1"/>
  <c r="Y489" i="26"/>
  <c r="Y452" i="26"/>
  <c r="AA452" i="26" s="1"/>
  <c r="AB452" i="26" s="1"/>
  <c r="AC452" i="26" s="1"/>
  <c r="AD452" i="26" s="1"/>
  <c r="AF452" i="26" s="1"/>
  <c r="Y468" i="26"/>
  <c r="AA468" i="26" s="1"/>
  <c r="AB468" i="26" s="1"/>
  <c r="AC468" i="26" s="1"/>
  <c r="AD468" i="26" s="1"/>
  <c r="AF468" i="26" s="1"/>
  <c r="Y446" i="26"/>
  <c r="AA446" i="26" s="1"/>
  <c r="AB446" i="26" s="1"/>
  <c r="AC446" i="26" s="1"/>
  <c r="AD446" i="26" s="1"/>
  <c r="AF446" i="26" s="1"/>
  <c r="Y473" i="26"/>
  <c r="AA473" i="26" s="1"/>
  <c r="AB473" i="26" s="1"/>
  <c r="AC473" i="26" s="1"/>
  <c r="AD473" i="26" s="1"/>
  <c r="AF473" i="26" s="1"/>
  <c r="Y484" i="26"/>
  <c r="AA484" i="26" s="1"/>
  <c r="AB484" i="26" s="1"/>
  <c r="AC484" i="26" s="1"/>
  <c r="AD484" i="26" s="1"/>
  <c r="AF484" i="26" s="1"/>
  <c r="Y470" i="26"/>
  <c r="AA470" i="26" s="1"/>
  <c r="AB470" i="26" s="1"/>
  <c r="AC470" i="26" s="1"/>
  <c r="AD470" i="26" s="1"/>
  <c r="AF470" i="26" s="1"/>
  <c r="Y467" i="26"/>
  <c r="AA467" i="26" s="1"/>
  <c r="AB467" i="26" s="1"/>
  <c r="AC467" i="26" s="1"/>
  <c r="AD467" i="26" s="1"/>
  <c r="AF467" i="26" s="1"/>
  <c r="Y450" i="26"/>
  <c r="AA450" i="26" s="1"/>
  <c r="AB450" i="26" s="1"/>
  <c r="AC450" i="26" s="1"/>
  <c r="AD450" i="26" s="1"/>
  <c r="AF450" i="26" s="1"/>
  <c r="Y465" i="26"/>
  <c r="AA465" i="26" s="1"/>
  <c r="AB465" i="26" s="1"/>
  <c r="AC465" i="26" s="1"/>
  <c r="AD465" i="26" s="1"/>
  <c r="AF465" i="26" s="1"/>
  <c r="AF455" i="26"/>
  <c r="Y443" i="26"/>
  <c r="AA443" i="26" s="1"/>
  <c r="AB443" i="26" s="1"/>
  <c r="AC443" i="26" s="1"/>
  <c r="AD443" i="26" s="1"/>
  <c r="AF443" i="26" s="1"/>
  <c r="Y460" i="26"/>
  <c r="AA460" i="26" s="1"/>
  <c r="AB460" i="26" s="1"/>
  <c r="AC460" i="26" s="1"/>
  <c r="AD460" i="26" s="1"/>
  <c r="AF460" i="26" s="1"/>
  <c r="Y474" i="26"/>
  <c r="AA474" i="26" s="1"/>
  <c r="AB474" i="26" s="1"/>
  <c r="AC474" i="26" s="1"/>
  <c r="AD474" i="26" s="1"/>
  <c r="AF474" i="26" s="1"/>
  <c r="AF477" i="26"/>
  <c r="Y451" i="26"/>
  <c r="Y478" i="26"/>
  <c r="AA478" i="26" s="1"/>
  <c r="AB478" i="26" s="1"/>
  <c r="AC478" i="26" s="1"/>
  <c r="AD478" i="26" s="1"/>
  <c r="AF478" i="26" s="1"/>
  <c r="Y476" i="26"/>
  <c r="AA476" i="26" s="1"/>
  <c r="AB476" i="26" s="1"/>
  <c r="AC476" i="26" s="1"/>
  <c r="AD476" i="26" s="1"/>
  <c r="AF476" i="26" s="1"/>
  <c r="Y461" i="26"/>
  <c r="AA461" i="26" s="1"/>
  <c r="AB461" i="26" s="1"/>
  <c r="AC461" i="26" s="1"/>
  <c r="AD461" i="26" s="1"/>
  <c r="AF461" i="26" s="1"/>
  <c r="Y464" i="26"/>
  <c r="AA464" i="26" s="1"/>
  <c r="AB464" i="26" s="1"/>
  <c r="AC464" i="26" s="1"/>
  <c r="AD464" i="26" s="1"/>
  <c r="AF464" i="26" s="1"/>
  <c r="Y485" i="26"/>
  <c r="AA485" i="26" s="1"/>
  <c r="AB485" i="26" s="1"/>
  <c r="AC485" i="26" s="1"/>
  <c r="AD485" i="26" s="1"/>
  <c r="AF485" i="26" s="1"/>
  <c r="Y490" i="26"/>
  <c r="AA490" i="26" s="1"/>
  <c r="AB490" i="26" s="1"/>
  <c r="AC490" i="26" s="1"/>
  <c r="AD490" i="26" s="1"/>
  <c r="AF490" i="26" s="1"/>
  <c r="Y462" i="26"/>
  <c r="AA462" i="26" s="1"/>
  <c r="AB462" i="26" s="1"/>
  <c r="AC462" i="26" s="1"/>
  <c r="AD462" i="26" s="1"/>
  <c r="AF462" i="26" s="1"/>
  <c r="Y487" i="26"/>
  <c r="AA487" i="26" s="1"/>
  <c r="AB487" i="26" s="1"/>
  <c r="AC487" i="26" s="1"/>
  <c r="AD487" i="26" s="1"/>
  <c r="AF487" i="26" s="1"/>
  <c r="AF463" i="26"/>
  <c r="Y453" i="26"/>
  <c r="AA453" i="26" s="1"/>
  <c r="AB453" i="26" s="1"/>
  <c r="AC453" i="26" s="1"/>
  <c r="AD453" i="26" s="1"/>
  <c r="AF453" i="26" s="1"/>
  <c r="Y456" i="26"/>
  <c r="AA456" i="26" s="1"/>
  <c r="AB456" i="26" s="1"/>
  <c r="AC456" i="26" s="1"/>
  <c r="AD456" i="26" s="1"/>
  <c r="AF456" i="26" s="1"/>
  <c r="Y459" i="26"/>
  <c r="AA459" i="26" s="1"/>
  <c r="AB459" i="26" s="1"/>
  <c r="AC459" i="26" s="1"/>
  <c r="AD459" i="26" s="1"/>
  <c r="AF459" i="26" s="1"/>
  <c r="Y471" i="26"/>
  <c r="AA471" i="26" s="1"/>
  <c r="AB471" i="26" s="1"/>
  <c r="AC471" i="26" s="1"/>
  <c r="AD471" i="26" s="1"/>
  <c r="AF471" i="26" s="1"/>
  <c r="Y486" i="26"/>
  <c r="AA486" i="26" s="1"/>
  <c r="AB486" i="26" s="1"/>
  <c r="AC486" i="26" s="1"/>
  <c r="AD486" i="26" s="1"/>
  <c r="AF486" i="26" s="1"/>
  <c r="Y454" i="26"/>
  <c r="AA454" i="26" s="1"/>
  <c r="AB454" i="26" s="1"/>
  <c r="AC454" i="26" s="1"/>
  <c r="AD454" i="26" s="1"/>
  <c r="AF454" i="26" s="1"/>
  <c r="Y483" i="26"/>
  <c r="AA483" i="26" s="1"/>
  <c r="AB483" i="26" s="1"/>
  <c r="AC483" i="26" s="1"/>
  <c r="AD483" i="26" s="1"/>
  <c r="AF483" i="26" s="1"/>
  <c r="AF447" i="26"/>
  <c r="Y458" i="26"/>
  <c r="AA458" i="26" s="1"/>
  <c r="AB458" i="26" s="1"/>
  <c r="AC458" i="26" s="1"/>
  <c r="AD458" i="26" s="1"/>
  <c r="AF458" i="26" s="1"/>
  <c r="Y491" i="26"/>
  <c r="AA491" i="26" s="1"/>
  <c r="AB491" i="26" s="1"/>
  <c r="AC491" i="26" s="1"/>
  <c r="AD491" i="26" s="1"/>
  <c r="AF491" i="26" s="1"/>
  <c r="AA451" i="26"/>
  <c r="AB451" i="26" s="1"/>
  <c r="AC451" i="26" s="1"/>
  <c r="AD451" i="26" s="1"/>
  <c r="AF451" i="26" s="1"/>
  <c r="AA489" i="26"/>
  <c r="AB489" i="26" s="1"/>
  <c r="AC489" i="26" s="1"/>
  <c r="AD489" i="26" s="1"/>
  <c r="AF489" i="26" s="1"/>
  <c r="AA407" i="26"/>
  <c r="AB407" i="26" s="1"/>
  <c r="AC407" i="26" s="1"/>
  <c r="AD407" i="26" s="1"/>
  <c r="AF407" i="26" s="1"/>
  <c r="AA412" i="26"/>
  <c r="AB412" i="26" s="1"/>
  <c r="AC412" i="26" s="1"/>
  <c r="AD412" i="26" s="1"/>
  <c r="AF412" i="26" s="1"/>
  <c r="AA420" i="26"/>
  <c r="AB420" i="26" s="1"/>
  <c r="AC420" i="26" s="1"/>
  <c r="AD420" i="26" s="1"/>
  <c r="AF420" i="26" s="1"/>
  <c r="AA436" i="26"/>
  <c r="AB436" i="26" s="1"/>
  <c r="AC436" i="26" s="1"/>
  <c r="AD436" i="26" s="1"/>
  <c r="AF436" i="26" s="1"/>
  <c r="AA424" i="26"/>
  <c r="AB424" i="26" s="1"/>
  <c r="AC424" i="26" s="1"/>
  <c r="AD424" i="26" s="1"/>
  <c r="AF424" i="26" s="1"/>
  <c r="AA415" i="26"/>
  <c r="AB415" i="26" s="1"/>
  <c r="AC415" i="26" s="1"/>
  <c r="AD415" i="26" s="1"/>
  <c r="AF415" i="26" s="1"/>
  <c r="AA416" i="26"/>
  <c r="AB416" i="26" s="1"/>
  <c r="AC416" i="26" s="1"/>
  <c r="AD416" i="26" s="1"/>
  <c r="AF416" i="26" s="1"/>
  <c r="AA439" i="26"/>
  <c r="AB439" i="26" s="1"/>
  <c r="AC439" i="26" s="1"/>
  <c r="AD439" i="26" s="1"/>
  <c r="AF439" i="26" s="1"/>
  <c r="AA435" i="26"/>
  <c r="AB435" i="26" s="1"/>
  <c r="AC435" i="26" s="1"/>
  <c r="AD435" i="26" s="1"/>
  <c r="AF435" i="26" s="1"/>
  <c r="AA431" i="26"/>
  <c r="AB431" i="26" s="1"/>
  <c r="AC431" i="26" s="1"/>
  <c r="AD431" i="26" s="1"/>
  <c r="AF431" i="26" s="1"/>
  <c r="AF411" i="26"/>
  <c r="AA427" i="26"/>
  <c r="AB427" i="26" s="1"/>
  <c r="AC427" i="26" s="1"/>
  <c r="AD427" i="26" s="1"/>
  <c r="AF427" i="26" s="1"/>
  <c r="AA423" i="26"/>
  <c r="AB423" i="26" s="1"/>
  <c r="AC423" i="26" s="1"/>
  <c r="AD423" i="26" s="1"/>
  <c r="AF423" i="26" s="1"/>
  <c r="AA408" i="26"/>
  <c r="AB408" i="26" s="1"/>
  <c r="AC408" i="26" s="1"/>
  <c r="AD408" i="26" s="1"/>
  <c r="AF408" i="26" s="1"/>
  <c r="AA419" i="26"/>
  <c r="AB419" i="26" s="1"/>
  <c r="AC419" i="26" s="1"/>
  <c r="AD419" i="26" s="1"/>
  <c r="AF419" i="26" s="1"/>
  <c r="AA428" i="26"/>
  <c r="AB428" i="26" s="1"/>
  <c r="AC428" i="26" s="1"/>
  <c r="AD428" i="26" s="1"/>
  <c r="AF428" i="26" s="1"/>
  <c r="AF432" i="26"/>
  <c r="AA425" i="26"/>
  <c r="AB425" i="26" s="1"/>
  <c r="AC425" i="26" s="1"/>
  <c r="AD425" i="26" s="1"/>
  <c r="AF425" i="26" s="1"/>
  <c r="AA418" i="26"/>
  <c r="AB418" i="26" s="1"/>
  <c r="AC418" i="26" s="1"/>
  <c r="AD418" i="26" s="1"/>
  <c r="AF418" i="26" s="1"/>
  <c r="AA417" i="26"/>
  <c r="AB417" i="26" s="1"/>
  <c r="AC417" i="26" s="1"/>
  <c r="AD417" i="26" s="1"/>
  <c r="AF417" i="26" s="1"/>
  <c r="AA430" i="26"/>
  <c r="AB430" i="26" s="1"/>
  <c r="AC430" i="26" s="1"/>
  <c r="AD430" i="26" s="1"/>
  <c r="AF430" i="26" s="1"/>
  <c r="AF414" i="26"/>
  <c r="AA433" i="26"/>
  <c r="AB433" i="26" s="1"/>
  <c r="AC433" i="26" s="1"/>
  <c r="AD433" i="26" s="1"/>
  <c r="AF433" i="26" s="1"/>
  <c r="AF426" i="26"/>
  <c r="AA421" i="26"/>
  <c r="AB421" i="26" s="1"/>
  <c r="AC421" i="26" s="1"/>
  <c r="AD421" i="26" s="1"/>
  <c r="AF421" i="26" s="1"/>
  <c r="AF438" i="26"/>
  <c r="AA413" i="26"/>
  <c r="AB413" i="26" s="1"/>
  <c r="AC413" i="26" s="1"/>
  <c r="AD413" i="26" s="1"/>
  <c r="AF413" i="26" s="1"/>
  <c r="AA434" i="26"/>
  <c r="AB434" i="26" s="1"/>
  <c r="AC434" i="26" s="1"/>
  <c r="AD434" i="26" s="1"/>
  <c r="AF434" i="26" s="1"/>
  <c r="AA437" i="26"/>
  <c r="AB437" i="26" s="1"/>
  <c r="AC437" i="26" s="1"/>
  <c r="AD437" i="26" s="1"/>
  <c r="AF437" i="26" s="1"/>
  <c r="AA422" i="26"/>
  <c r="AB422" i="26" s="1"/>
  <c r="AC422" i="26" s="1"/>
  <c r="AD422" i="26" s="1"/>
  <c r="AF422" i="26" s="1"/>
  <c r="AA409" i="26"/>
  <c r="AB409" i="26" s="1"/>
  <c r="AC409" i="26" s="1"/>
  <c r="AD409" i="26" s="1"/>
  <c r="AF409" i="26" s="1"/>
  <c r="AA410" i="26"/>
  <c r="AB410" i="26" s="1"/>
  <c r="AC410" i="26" s="1"/>
  <c r="AD410" i="26" s="1"/>
  <c r="AF410" i="26" s="1"/>
  <c r="AA429" i="26"/>
  <c r="AB429" i="26" s="1"/>
  <c r="AC429" i="26" s="1"/>
  <c r="AD429" i="26" s="1"/>
  <c r="AF429" i="26" s="1"/>
  <c r="AA366" i="26"/>
  <c r="AB366" i="26" s="1"/>
  <c r="AC366" i="26" s="1"/>
  <c r="AD366" i="26" s="1"/>
  <c r="AF366" i="26" s="1"/>
  <c r="AA378" i="26"/>
  <c r="AB378" i="26" s="1"/>
  <c r="AC378" i="26" s="1"/>
  <c r="AD378" i="26" s="1"/>
  <c r="AF378" i="26" s="1"/>
  <c r="AA397" i="26"/>
  <c r="AB397" i="26" s="1"/>
  <c r="AC397" i="26" s="1"/>
  <c r="AD397" i="26" s="1"/>
  <c r="AF397" i="26" s="1"/>
  <c r="AA386" i="26"/>
  <c r="AB386" i="26" s="1"/>
  <c r="AC386" i="26" s="1"/>
  <c r="AD386" i="26" s="1"/>
  <c r="AF386" i="26" s="1"/>
  <c r="AA398" i="26"/>
  <c r="AB398" i="26" s="1"/>
  <c r="AC398" i="26" s="1"/>
  <c r="AD398" i="26" s="1"/>
  <c r="AF398" i="26" s="1"/>
  <c r="AA383" i="26"/>
  <c r="AB383" i="26" s="1"/>
  <c r="AC383" i="26" s="1"/>
  <c r="AD383" i="26" s="1"/>
  <c r="AF383" i="26" s="1"/>
  <c r="AA369" i="26"/>
  <c r="AB369" i="26" s="1"/>
  <c r="AC369" i="26" s="1"/>
  <c r="AD369" i="26" s="1"/>
  <c r="AF369" i="26" s="1"/>
  <c r="AA402" i="26"/>
  <c r="AB402" i="26" s="1"/>
  <c r="AC402" i="26" s="1"/>
  <c r="AD402" i="26" s="1"/>
  <c r="AF402" i="26" s="1"/>
  <c r="AA400" i="26"/>
  <c r="AB400" i="26" s="1"/>
  <c r="AC400" i="26" s="1"/>
  <c r="AD400" i="26" s="1"/>
  <c r="AF400" i="26" s="1"/>
  <c r="AF390" i="26"/>
  <c r="AA379" i="26"/>
  <c r="AB379" i="26" s="1"/>
  <c r="AC379" i="26" s="1"/>
  <c r="AD379" i="26" s="1"/>
  <c r="AF379" i="26" s="1"/>
  <c r="AA365" i="26"/>
  <c r="AB365" i="26" s="1"/>
  <c r="AC365" i="26" s="1"/>
  <c r="AD365" i="26" s="1"/>
  <c r="AF365" i="26" s="1"/>
  <c r="AA381" i="26"/>
  <c r="AB381" i="26" s="1"/>
  <c r="AC381" i="26" s="1"/>
  <c r="AD381" i="26" s="1"/>
  <c r="AF381" i="26" s="1"/>
  <c r="AA371" i="26"/>
  <c r="AB371" i="26" s="1"/>
  <c r="AC371" i="26" s="1"/>
  <c r="AD371" i="26" s="1"/>
  <c r="AF371" i="26" s="1"/>
  <c r="AA399" i="26"/>
  <c r="AB399" i="26" s="1"/>
  <c r="AC399" i="26" s="1"/>
  <c r="AD399" i="26" s="1"/>
  <c r="AF399" i="26" s="1"/>
  <c r="AA404" i="26"/>
  <c r="AB404" i="26" s="1"/>
  <c r="AC404" i="26" s="1"/>
  <c r="AD404" i="26" s="1"/>
  <c r="AF404" i="26" s="1"/>
  <c r="AA403" i="26"/>
  <c r="AB403" i="26" s="1"/>
  <c r="AC403" i="26" s="1"/>
  <c r="AD403" i="26" s="1"/>
  <c r="AF403" i="26" s="1"/>
  <c r="AA373" i="26"/>
  <c r="AB373" i="26" s="1"/>
  <c r="AC373" i="26" s="1"/>
  <c r="AD373" i="26" s="1"/>
  <c r="AF373" i="26" s="1"/>
  <c r="AA367" i="26"/>
  <c r="AB367" i="26" s="1"/>
  <c r="AC367" i="26" s="1"/>
  <c r="AD367" i="26" s="1"/>
  <c r="AF367" i="26" s="1"/>
  <c r="AA387" i="26"/>
  <c r="AB387" i="26" s="1"/>
  <c r="AC387" i="26" s="1"/>
  <c r="AD387" i="26" s="1"/>
  <c r="AF387" i="26" s="1"/>
  <c r="AA374" i="26"/>
  <c r="AB374" i="26" s="1"/>
  <c r="AC374" i="26" s="1"/>
  <c r="AD374" i="26" s="1"/>
  <c r="AF374" i="26" s="1"/>
  <c r="AA394" i="26"/>
  <c r="AB394" i="26" s="1"/>
  <c r="AC394" i="26" s="1"/>
  <c r="AD394" i="26" s="1"/>
  <c r="AF394" i="26" s="1"/>
  <c r="AA389" i="26"/>
  <c r="AB389" i="26" s="1"/>
  <c r="AC389" i="26" s="1"/>
  <c r="AD389" i="26" s="1"/>
  <c r="AF389" i="26" s="1"/>
  <c r="AA370" i="26"/>
  <c r="AB370" i="26" s="1"/>
  <c r="AC370" i="26" s="1"/>
  <c r="AD370" i="26" s="1"/>
  <c r="AF370" i="26" s="1"/>
  <c r="AA393" i="26"/>
  <c r="AB393" i="26" s="1"/>
  <c r="AC393" i="26" s="1"/>
  <c r="AD393" i="26" s="1"/>
  <c r="AF393" i="26" s="1"/>
  <c r="AA382" i="26"/>
  <c r="AB382" i="26" s="1"/>
  <c r="AC382" i="26" s="1"/>
  <c r="AD382" i="26" s="1"/>
  <c r="AF382" i="26" s="1"/>
  <c r="AA380" i="26"/>
  <c r="AB380" i="26" s="1"/>
  <c r="AC380" i="26" s="1"/>
  <c r="AD380" i="26" s="1"/>
  <c r="AF380" i="26" s="1"/>
  <c r="AA364" i="26"/>
  <c r="AB364" i="26" s="1"/>
  <c r="AC364" i="26" s="1"/>
  <c r="AD364" i="26" s="1"/>
  <c r="AF364" i="26" s="1"/>
  <c r="AA392" i="26"/>
  <c r="AB392" i="26" s="1"/>
  <c r="AC392" i="26" s="1"/>
  <c r="AD392" i="26" s="1"/>
  <c r="AF392" i="26" s="1"/>
  <c r="AA388" i="26"/>
  <c r="AB388" i="26" s="1"/>
  <c r="AC388" i="26" s="1"/>
  <c r="AD388" i="26" s="1"/>
  <c r="AF388" i="26" s="1"/>
  <c r="AA372" i="26"/>
  <c r="AB372" i="26" s="1"/>
  <c r="AC372" i="26" s="1"/>
  <c r="AD372" i="26" s="1"/>
  <c r="AF372" i="26" s="1"/>
  <c r="AF376" i="26"/>
  <c r="AA363" i="26"/>
  <c r="AB363" i="26" s="1"/>
  <c r="AC363" i="26" s="1"/>
  <c r="AD363" i="26" s="1"/>
  <c r="AF363" i="26" s="1"/>
  <c r="AA385" i="26"/>
  <c r="AB385" i="26" s="1"/>
  <c r="AC385" i="26" s="1"/>
  <c r="AD385" i="26" s="1"/>
  <c r="AF385" i="26" s="1"/>
  <c r="AF368" i="26"/>
  <c r="AA396" i="26"/>
  <c r="AB396" i="26" s="1"/>
  <c r="AC396" i="26" s="1"/>
  <c r="AD396" i="26" s="1"/>
  <c r="AF396" i="26" s="1"/>
  <c r="AA377" i="26"/>
  <c r="AB377" i="26" s="1"/>
  <c r="AC377" i="26" s="1"/>
  <c r="AD377" i="26" s="1"/>
  <c r="AF377" i="26" s="1"/>
  <c r="AA395" i="26"/>
  <c r="AB395" i="26" s="1"/>
  <c r="AC395" i="26" s="1"/>
  <c r="AD395" i="26" s="1"/>
  <c r="AF395" i="26" s="1"/>
  <c r="AA384" i="26"/>
  <c r="AB384" i="26" s="1"/>
  <c r="AC384" i="26" s="1"/>
  <c r="AD384" i="26" s="1"/>
  <c r="AF384" i="26" s="1"/>
  <c r="AA375" i="26"/>
  <c r="AB375" i="26" s="1"/>
  <c r="AC375" i="26" s="1"/>
  <c r="AD375" i="26" s="1"/>
  <c r="AF375" i="26" s="1"/>
  <c r="AA391" i="26"/>
  <c r="AB391" i="26" s="1"/>
  <c r="AC391" i="26" s="1"/>
  <c r="AD391" i="26" s="1"/>
  <c r="AF391" i="26" s="1"/>
  <c r="AA401" i="26"/>
  <c r="AB401" i="26" s="1"/>
  <c r="AC401" i="26" s="1"/>
  <c r="AD401" i="26" s="1"/>
  <c r="AF401" i="26" s="1"/>
  <c r="AA362" i="26"/>
  <c r="AB362" i="26" s="1"/>
  <c r="AC362" i="26" s="1"/>
  <c r="AD362" i="26" s="1"/>
  <c r="AF362" i="26" s="1"/>
  <c r="AA358" i="26"/>
  <c r="AB358" i="26" s="1"/>
  <c r="AC358" i="26" s="1"/>
  <c r="AD358" i="26" s="1"/>
  <c r="AF358" i="26" s="1"/>
  <c r="AA359" i="26"/>
  <c r="AB359" i="26" s="1"/>
  <c r="AC359" i="26" s="1"/>
  <c r="AD359" i="26" s="1"/>
  <c r="AF359" i="26" s="1"/>
  <c r="AA357" i="26"/>
  <c r="AB357" i="26" s="1"/>
  <c r="AC357" i="26" s="1"/>
  <c r="AD357" i="26" s="1"/>
  <c r="AF357" i="26" s="1"/>
  <c r="AA356" i="26"/>
  <c r="AB356" i="26" s="1"/>
  <c r="AC356" i="26" s="1"/>
  <c r="AD356" i="26" s="1"/>
  <c r="AF356" i="26" s="1"/>
  <c r="AF360" i="26"/>
  <c r="AA355" i="26"/>
  <c r="AB355" i="26" s="1"/>
  <c r="AC355" i="26" s="1"/>
  <c r="AD355" i="26" s="1"/>
  <c r="AF355" i="26" s="1"/>
  <c r="Y246" i="26"/>
  <c r="V246" i="26"/>
  <c r="U246" i="26"/>
  <c r="W246" i="26"/>
  <c r="W237" i="26"/>
  <c r="W264" i="26"/>
  <c r="W286" i="26"/>
  <c r="W292" i="26"/>
  <c r="W284" i="26"/>
  <c r="W294" i="26"/>
  <c r="W278" i="26"/>
  <c r="W249" i="26"/>
  <c r="W290" i="26"/>
  <c r="W282" i="26"/>
  <c r="W270" i="26"/>
  <c r="W248" i="26"/>
  <c r="W240" i="26"/>
  <c r="W277" i="26"/>
  <c r="W289" i="26"/>
  <c r="W257" i="26"/>
  <c r="W256" i="26"/>
  <c r="W265" i="26"/>
  <c r="W243" i="26"/>
  <c r="W285" i="26"/>
  <c r="W283" i="26"/>
  <c r="W273" i="26"/>
  <c r="W239" i="26"/>
  <c r="W260" i="26"/>
  <c r="W252" i="26"/>
  <c r="W244" i="26"/>
  <c r="W269" i="26"/>
  <c r="W263" i="26"/>
  <c r="W262" i="26"/>
  <c r="W254" i="26"/>
  <c r="W255" i="26"/>
  <c r="W280" i="26"/>
  <c r="W279" i="26"/>
  <c r="W281" i="26"/>
  <c r="W258" i="26"/>
  <c r="W250" i="26"/>
  <c r="W272" i="26"/>
  <c r="W276" i="26"/>
  <c r="W267" i="26"/>
  <c r="W271" i="26"/>
  <c r="W291" i="26"/>
  <c r="W259" i="26"/>
  <c r="W266" i="26"/>
  <c r="W247" i="26"/>
  <c r="W238" i="26"/>
  <c r="W251" i="26"/>
  <c r="W275" i="26"/>
  <c r="W287" i="26"/>
  <c r="W242" i="26"/>
  <c r="W241" i="26"/>
  <c r="W268" i="26"/>
  <c r="W295" i="26"/>
  <c r="Y237" i="26"/>
  <c r="Y285" i="26"/>
  <c r="Y273" i="26"/>
  <c r="Y239" i="26"/>
  <c r="Y277" i="26"/>
  <c r="Y264" i="26"/>
  <c r="Y260" i="26"/>
  <c r="Y252" i="26"/>
  <c r="Y269" i="26"/>
  <c r="Y244" i="26"/>
  <c r="Y284" i="26"/>
  <c r="Y289" i="26"/>
  <c r="Y290" i="26"/>
  <c r="Y283" i="26"/>
  <c r="Y270" i="26"/>
  <c r="Y256" i="26"/>
  <c r="Y265" i="26"/>
  <c r="Y243" i="26"/>
  <c r="Y248" i="26"/>
  <c r="Y240" i="26"/>
  <c r="Y292" i="26"/>
  <c r="Y282" i="26"/>
  <c r="Y294" i="26"/>
  <c r="Y278" i="26"/>
  <c r="Y249" i="26"/>
  <c r="Y286" i="26"/>
  <c r="Y257" i="26"/>
  <c r="Y295" i="26"/>
  <c r="Y241" i="26"/>
  <c r="Y267" i="26"/>
  <c r="Y271" i="26"/>
  <c r="Y255" i="26"/>
  <c r="Y247" i="26"/>
  <c r="Y238" i="26"/>
  <c r="Y263" i="26"/>
  <c r="Y242" i="26"/>
  <c r="Y259" i="26"/>
  <c r="Y281" i="26"/>
  <c r="Y275" i="26"/>
  <c r="Y287" i="26"/>
  <c r="Y266" i="26"/>
  <c r="Y268" i="26"/>
  <c r="Y250" i="26"/>
  <c r="Y272" i="26"/>
  <c r="Y276" i="26"/>
  <c r="Y251" i="26"/>
  <c r="Y258" i="26"/>
  <c r="Y279" i="26"/>
  <c r="Y254" i="26"/>
  <c r="Y291" i="26"/>
  <c r="Y262" i="26"/>
  <c r="Y280" i="26"/>
  <c r="V237" i="26"/>
  <c r="V257" i="26"/>
  <c r="V256" i="26"/>
  <c r="V260" i="26"/>
  <c r="V264" i="26"/>
  <c r="V265" i="26"/>
  <c r="V278" i="26"/>
  <c r="V289" i="26"/>
  <c r="V292" i="26"/>
  <c r="V283" i="26"/>
  <c r="V273" i="26"/>
  <c r="V244" i="26"/>
  <c r="V243" i="26"/>
  <c r="V290" i="26"/>
  <c r="V270" i="26"/>
  <c r="V240" i="26"/>
  <c r="V248" i="26"/>
  <c r="V269" i="26"/>
  <c r="V286" i="26"/>
  <c r="V285" i="26"/>
  <c r="V282" i="26"/>
  <c r="V294" i="26"/>
  <c r="V239" i="26"/>
  <c r="V252" i="26"/>
  <c r="V249" i="26"/>
  <c r="V284" i="26"/>
  <c r="V277" i="26"/>
  <c r="V275" i="26"/>
  <c r="V287" i="26"/>
  <c r="V242" i="26"/>
  <c r="V241" i="26"/>
  <c r="V259" i="26"/>
  <c r="V258" i="26"/>
  <c r="V254" i="26"/>
  <c r="V255" i="26"/>
  <c r="V279" i="26"/>
  <c r="V276" i="26"/>
  <c r="V266" i="26"/>
  <c r="V238" i="26"/>
  <c r="V250" i="26"/>
  <c r="V263" i="26"/>
  <c r="V295" i="26"/>
  <c r="V267" i="26"/>
  <c r="V271" i="26"/>
  <c r="V280" i="26"/>
  <c r="V262" i="26"/>
  <c r="V281" i="26"/>
  <c r="V272" i="26"/>
  <c r="V291" i="26"/>
  <c r="V247" i="26"/>
  <c r="V268" i="26"/>
  <c r="V251" i="26"/>
  <c r="U237" i="26"/>
  <c r="U294" i="26"/>
  <c r="U244" i="26"/>
  <c r="U289" i="26"/>
  <c r="U257" i="26"/>
  <c r="U292" i="26"/>
  <c r="U286" i="26"/>
  <c r="U285" i="26"/>
  <c r="U290" i="26"/>
  <c r="U284" i="26"/>
  <c r="U282" i="26"/>
  <c r="U273" i="26"/>
  <c r="U239" i="26"/>
  <c r="U277" i="26"/>
  <c r="U264" i="26"/>
  <c r="U260" i="26"/>
  <c r="U252" i="26"/>
  <c r="U269" i="26"/>
  <c r="U278" i="26"/>
  <c r="U249" i="26"/>
  <c r="U283" i="26"/>
  <c r="U270" i="26"/>
  <c r="U240" i="26"/>
  <c r="U256" i="26"/>
  <c r="U265" i="26"/>
  <c r="U243" i="26"/>
  <c r="U248" i="26"/>
  <c r="U250" i="26"/>
  <c r="U263" i="26"/>
  <c r="U295" i="26"/>
  <c r="U258" i="26"/>
  <c r="U262" i="26"/>
  <c r="U266" i="26"/>
  <c r="U280" i="26"/>
  <c r="U268" i="26"/>
  <c r="U251" i="26"/>
  <c r="U279" i="26"/>
  <c r="U259" i="26"/>
  <c r="U275" i="26"/>
  <c r="U254" i="26"/>
  <c r="U267" i="26"/>
  <c r="U255" i="26"/>
  <c r="U247" i="26"/>
  <c r="U238" i="26"/>
  <c r="U281" i="26"/>
  <c r="U272" i="26"/>
  <c r="U291" i="26"/>
  <c r="U276" i="26"/>
  <c r="U271" i="26"/>
  <c r="U287" i="26"/>
  <c r="U242" i="26"/>
  <c r="U241" i="26"/>
  <c r="Y198" i="26"/>
  <c r="Y199" i="26"/>
  <c r="Y200" i="26"/>
  <c r="Y202" i="26"/>
  <c r="Y203" i="26"/>
  <c r="Y204" i="26"/>
  <c r="Y205" i="26"/>
  <c r="Y206" i="26"/>
  <c r="Y207" i="26"/>
  <c r="Y208" i="26"/>
  <c r="Y209" i="26"/>
  <c r="Y210" i="26"/>
  <c r="Y211" i="26"/>
  <c r="Y212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7" i="26"/>
  <c r="Y228" i="26"/>
  <c r="Y229" i="26"/>
  <c r="Y230" i="26"/>
  <c r="Y231" i="26"/>
  <c r="Y233" i="26"/>
  <c r="Y234" i="26"/>
  <c r="Y179" i="26"/>
  <c r="Y180" i="26"/>
  <c r="Y181" i="26"/>
  <c r="Y182" i="26"/>
  <c r="Y183" i="26"/>
  <c r="Y184" i="26"/>
  <c r="Y185" i="26"/>
  <c r="Y187" i="26"/>
  <c r="Y188" i="26"/>
  <c r="Y189" i="26"/>
  <c r="Y190" i="26"/>
  <c r="Y191" i="26"/>
  <c r="Y192" i="26"/>
  <c r="Y194" i="26"/>
  <c r="Y195" i="26"/>
  <c r="Y197" i="26"/>
  <c r="Y196" i="26"/>
  <c r="Y178" i="26"/>
  <c r="W204" i="26"/>
  <c r="W206" i="26"/>
  <c r="W209" i="26"/>
  <c r="W212" i="26"/>
  <c r="W215" i="26"/>
  <c r="W218" i="26"/>
  <c r="W221" i="26"/>
  <c r="W223" i="26"/>
  <c r="W229" i="26"/>
  <c r="W233" i="26"/>
  <c r="W179" i="26"/>
  <c r="W182" i="26"/>
  <c r="W185" i="26"/>
  <c r="W188" i="26"/>
  <c r="W190" i="26"/>
  <c r="W192" i="26"/>
  <c r="W195" i="26"/>
  <c r="W200" i="26"/>
  <c r="W203" i="26"/>
  <c r="W207" i="26"/>
  <c r="W210" i="26"/>
  <c r="W216" i="26"/>
  <c r="W219" i="26"/>
  <c r="W224" i="26"/>
  <c r="W227" i="26"/>
  <c r="W230" i="26"/>
  <c r="W180" i="26"/>
  <c r="W183" i="26"/>
  <c r="W189" i="26"/>
  <c r="W197" i="26"/>
  <c r="W196" i="26"/>
  <c r="W178" i="26"/>
  <c r="W199" i="26"/>
  <c r="W202" i="26"/>
  <c r="W205" i="26"/>
  <c r="W208" i="26"/>
  <c r="W211" i="26"/>
  <c r="W214" i="26"/>
  <c r="W217" i="26"/>
  <c r="W220" i="26"/>
  <c r="W222" i="26"/>
  <c r="W225" i="26"/>
  <c r="W228" i="26"/>
  <c r="W231" i="26"/>
  <c r="W234" i="26"/>
  <c r="W181" i="26"/>
  <c r="W184" i="26"/>
  <c r="W187" i="26"/>
  <c r="W191" i="26"/>
  <c r="W194" i="26"/>
  <c r="W198" i="26"/>
  <c r="V197" i="26"/>
  <c r="V178" i="26"/>
  <c r="V198" i="26"/>
  <c r="V199" i="26"/>
  <c r="V200" i="26"/>
  <c r="V202" i="26"/>
  <c r="V203" i="26"/>
  <c r="V204" i="26"/>
  <c r="V205" i="26"/>
  <c r="V206" i="26"/>
  <c r="V207" i="26"/>
  <c r="V208" i="26"/>
  <c r="V209" i="26"/>
  <c r="V210" i="26"/>
  <c r="V211" i="26"/>
  <c r="V212" i="26"/>
  <c r="V214" i="26"/>
  <c r="V215" i="26"/>
  <c r="V216" i="26"/>
  <c r="V217" i="26"/>
  <c r="V218" i="26"/>
  <c r="V219" i="26"/>
  <c r="V220" i="26"/>
  <c r="V221" i="26"/>
  <c r="V222" i="26"/>
  <c r="V223" i="26"/>
  <c r="V224" i="26"/>
  <c r="V225" i="26"/>
  <c r="V227" i="26"/>
  <c r="V228" i="26"/>
  <c r="V229" i="26"/>
  <c r="V230" i="26"/>
  <c r="V231" i="26"/>
  <c r="V233" i="26"/>
  <c r="V234" i="26"/>
  <c r="V179" i="26"/>
  <c r="V180" i="26"/>
  <c r="V181" i="26"/>
  <c r="V182" i="26"/>
  <c r="V183" i="26"/>
  <c r="V184" i="26"/>
  <c r="V185" i="26"/>
  <c r="V187" i="26"/>
  <c r="V188" i="26"/>
  <c r="V189" i="26"/>
  <c r="V190" i="26"/>
  <c r="V191" i="26"/>
  <c r="V192" i="26"/>
  <c r="V194" i="26"/>
  <c r="V195" i="26"/>
  <c r="V196" i="26"/>
  <c r="U197" i="26"/>
  <c r="U196" i="26"/>
  <c r="U178" i="26"/>
  <c r="U198" i="26"/>
  <c r="U199" i="26"/>
  <c r="U200" i="26"/>
  <c r="U202" i="26"/>
  <c r="U203" i="26"/>
  <c r="U204" i="26"/>
  <c r="U205" i="26"/>
  <c r="U206" i="26"/>
  <c r="U207" i="26"/>
  <c r="U208" i="26"/>
  <c r="U209" i="26"/>
  <c r="U210" i="26"/>
  <c r="U211" i="26"/>
  <c r="U212" i="26"/>
  <c r="U214" i="26"/>
  <c r="U215" i="26"/>
  <c r="U216" i="26"/>
  <c r="U217" i="26"/>
  <c r="U218" i="26"/>
  <c r="U219" i="26"/>
  <c r="U220" i="26"/>
  <c r="U221" i="26"/>
  <c r="U222" i="26"/>
  <c r="U223" i="26"/>
  <c r="U224" i="26"/>
  <c r="U225" i="26"/>
  <c r="U227" i="26"/>
  <c r="U228" i="26"/>
  <c r="U229" i="26"/>
  <c r="U230" i="26"/>
  <c r="U231" i="26"/>
  <c r="U233" i="26"/>
  <c r="U234" i="26"/>
  <c r="U179" i="26"/>
  <c r="U180" i="26"/>
  <c r="U181" i="26"/>
  <c r="U182" i="26"/>
  <c r="U183" i="26"/>
  <c r="U184" i="26"/>
  <c r="U185" i="26"/>
  <c r="U187" i="26"/>
  <c r="U188" i="26"/>
  <c r="U189" i="26"/>
  <c r="U190" i="26"/>
  <c r="U191" i="26"/>
  <c r="U192" i="26"/>
  <c r="U194" i="26"/>
  <c r="U195" i="26"/>
  <c r="V140" i="26"/>
  <c r="V25" i="26"/>
  <c r="V313" i="26"/>
  <c r="V159" i="26"/>
  <c r="V560" i="26"/>
  <c r="V508" i="26"/>
  <c r="V77" i="26"/>
  <c r="V588" i="26"/>
  <c r="V524" i="26"/>
  <c r="V665" i="26"/>
  <c r="V131" i="26"/>
  <c r="V328" i="26"/>
  <c r="V514" i="26"/>
  <c r="V608" i="26"/>
  <c r="V29" i="26"/>
  <c r="V154" i="26"/>
  <c r="V341" i="26"/>
  <c r="V537" i="26"/>
  <c r="V584" i="26"/>
  <c r="V681" i="26"/>
  <c r="V565" i="26"/>
  <c r="V666" i="26"/>
  <c r="V18" i="26"/>
  <c r="V125" i="26"/>
  <c r="V162" i="26"/>
  <c r="V333" i="26"/>
  <c r="V543" i="26"/>
  <c r="V526" i="26"/>
  <c r="V615" i="26"/>
  <c r="V627" i="26"/>
  <c r="V690" i="26"/>
  <c r="V22" i="26"/>
  <c r="V139" i="26"/>
  <c r="V171" i="26"/>
  <c r="V324" i="26"/>
  <c r="V310" i="26"/>
  <c r="V559" i="26"/>
  <c r="V522" i="26"/>
  <c r="V590" i="26"/>
  <c r="V620" i="26"/>
  <c r="V662" i="26"/>
  <c r="V831" i="26"/>
  <c r="V336" i="26"/>
  <c r="V349" i="26"/>
  <c r="V499" i="26"/>
  <c r="V496" i="26"/>
  <c r="V530" i="26"/>
  <c r="V592" i="26"/>
  <c r="V581" i="26"/>
  <c r="V637" i="26"/>
  <c r="V686" i="26"/>
  <c r="V870" i="26"/>
  <c r="P946" i="26"/>
  <c r="V28" i="26"/>
  <c r="V128" i="26"/>
  <c r="V148" i="26"/>
  <c r="V168" i="26"/>
  <c r="V307" i="26"/>
  <c r="V319" i="26"/>
  <c r="V339" i="26"/>
  <c r="V551" i="26"/>
  <c r="V557" i="26"/>
  <c r="V498" i="26"/>
  <c r="V521" i="26"/>
  <c r="V582" i="26"/>
  <c r="V564" i="26"/>
  <c r="V571" i="26"/>
  <c r="V648" i="26"/>
  <c r="V646" i="26"/>
  <c r="V703" i="26"/>
  <c r="V922" i="26"/>
  <c r="V14" i="26"/>
  <c r="V21" i="26"/>
  <c r="V30" i="26"/>
  <c r="V33" i="26"/>
  <c r="V26" i="26"/>
  <c r="V121" i="26"/>
  <c r="V124" i="26"/>
  <c r="V129" i="26"/>
  <c r="V145" i="26"/>
  <c r="V141" i="26"/>
  <c r="V146" i="26"/>
  <c r="V161" i="26"/>
  <c r="V153" i="26"/>
  <c r="V173" i="26"/>
  <c r="V156" i="26"/>
  <c r="V172" i="26"/>
  <c r="V167" i="26"/>
  <c r="V332" i="26"/>
  <c r="V311" i="26"/>
  <c r="V303" i="26"/>
  <c r="V344" i="26"/>
  <c r="V327" i="26"/>
  <c r="V329" i="26"/>
  <c r="V299" i="26"/>
  <c r="V321" i="26"/>
  <c r="V347" i="26"/>
  <c r="V315" i="26"/>
  <c r="V323" i="26"/>
  <c r="V515" i="26"/>
  <c r="V547" i="26"/>
  <c r="V523" i="26"/>
  <c r="V503" i="26"/>
  <c r="V497" i="26"/>
  <c r="V553" i="26"/>
  <c r="V533" i="26"/>
  <c r="V519" i="26"/>
  <c r="V528" i="26"/>
  <c r="V506" i="26"/>
  <c r="V511" i="26"/>
  <c r="V550" i="26"/>
  <c r="V556" i="26"/>
  <c r="V529" i="26"/>
  <c r="V534" i="26"/>
  <c r="V495" i="26"/>
  <c r="V570" i="26"/>
  <c r="V572" i="26"/>
  <c r="V613" i="26"/>
  <c r="V576" i="26"/>
  <c r="V596" i="26"/>
  <c r="V580" i="26"/>
  <c r="V609" i="26"/>
  <c r="V583" i="26"/>
  <c r="V569" i="26"/>
  <c r="V579" i="26"/>
  <c r="V575" i="26"/>
  <c r="V598" i="26"/>
  <c r="V606" i="26"/>
  <c r="V664" i="26"/>
  <c r="V643" i="26"/>
  <c r="V657" i="26"/>
  <c r="V652" i="26"/>
  <c r="V663" i="26"/>
  <c r="V644" i="26"/>
  <c r="V680" i="26"/>
  <c r="V685" i="26"/>
  <c r="V694" i="26"/>
  <c r="V821" i="26"/>
  <c r="V826" i="26"/>
  <c r="V871" i="26"/>
  <c r="V17" i="26"/>
  <c r="V16" i="26"/>
  <c r="V35" i="26"/>
  <c r="V27" i="26"/>
  <c r="V34" i="26"/>
  <c r="V20" i="26"/>
  <c r="V123" i="26"/>
  <c r="V119" i="26"/>
  <c r="V127" i="26"/>
  <c r="V149" i="26"/>
  <c r="V150" i="26"/>
  <c r="V144" i="26"/>
  <c r="V169" i="26"/>
  <c r="V158" i="26"/>
  <c r="V166" i="26"/>
  <c r="V164" i="26"/>
  <c r="V163" i="26"/>
  <c r="V152" i="26"/>
  <c r="V326" i="26"/>
  <c r="V309" i="26"/>
  <c r="V340" i="26"/>
  <c r="V318" i="26"/>
  <c r="V338" i="26"/>
  <c r="V345" i="26"/>
  <c r="V322" i="26"/>
  <c r="V312" i="26"/>
  <c r="V302" i="26"/>
  <c r="V314" i="26"/>
  <c r="V320" i="26"/>
  <c r="V300" i="26"/>
  <c r="V516" i="26"/>
  <c r="V539" i="26"/>
  <c r="V531" i="26"/>
  <c r="V501" i="26"/>
  <c r="V509" i="26"/>
  <c r="V549" i="26"/>
  <c r="V544" i="26"/>
  <c r="V548" i="26"/>
  <c r="V532" i="26"/>
  <c r="V546" i="26"/>
  <c r="V500" i="26"/>
  <c r="V502" i="26"/>
  <c r="V512" i="26"/>
  <c r="V510" i="26"/>
  <c r="V538" i="26"/>
  <c r="V563" i="26"/>
  <c r="V578" i="26"/>
  <c r="V624" i="26"/>
  <c r="V622" i="26"/>
  <c r="V594" i="26"/>
  <c r="V586" i="26"/>
  <c r="V568" i="26"/>
  <c r="V566" i="26"/>
  <c r="V601" i="26"/>
  <c r="V577" i="26"/>
  <c r="V621" i="26"/>
  <c r="V591" i="26"/>
  <c r="V589" i="26"/>
  <c r="V618" i="26"/>
  <c r="V641" i="26"/>
  <c r="V670" i="26"/>
  <c r="V651" i="26"/>
  <c r="V668" i="26"/>
  <c r="V636" i="26"/>
  <c r="V634" i="26"/>
  <c r="V676" i="26"/>
  <c r="V675" i="26"/>
  <c r="V702" i="26"/>
  <c r="V811" i="26"/>
  <c r="V815" i="26"/>
  <c r="V917" i="26"/>
  <c r="V15" i="26"/>
  <c r="V32" i="26"/>
  <c r="V24" i="26"/>
  <c r="V23" i="26"/>
  <c r="V31" i="26"/>
  <c r="V78" i="26"/>
  <c r="V120" i="26"/>
  <c r="V130" i="26"/>
  <c r="V138" i="26"/>
  <c r="V143" i="26"/>
  <c r="V142" i="26"/>
  <c r="V147" i="26"/>
  <c r="V157" i="26"/>
  <c r="V165" i="26"/>
  <c r="V170" i="26"/>
  <c r="V160" i="26"/>
  <c r="V155" i="26"/>
  <c r="V342" i="26"/>
  <c r="V316" i="26"/>
  <c r="V346" i="26"/>
  <c r="V301" i="26"/>
  <c r="V305" i="26"/>
  <c r="V331" i="26"/>
  <c r="V337" i="26"/>
  <c r="V343" i="26"/>
  <c r="V330" i="26"/>
  <c r="V335" i="26"/>
  <c r="V306" i="26"/>
  <c r="V304" i="26"/>
  <c r="V555" i="26"/>
  <c r="V505" i="26"/>
  <c r="V525" i="26"/>
  <c r="V517" i="26"/>
  <c r="V535" i="26"/>
  <c r="V545" i="26"/>
  <c r="V518" i="26"/>
  <c r="V527" i="26"/>
  <c r="V536" i="26"/>
  <c r="V554" i="26"/>
  <c r="V504" i="26"/>
  <c r="V558" i="26"/>
  <c r="V513" i="26"/>
  <c r="V520" i="26"/>
  <c r="V542" i="26"/>
  <c r="V623" i="26"/>
  <c r="V574" i="26"/>
  <c r="V630" i="26"/>
  <c r="V628" i="26"/>
  <c r="V617" i="26"/>
  <c r="V611" i="26"/>
  <c r="V626" i="26"/>
  <c r="V587" i="26"/>
  <c r="V604" i="26"/>
  <c r="V593" i="26"/>
  <c r="V602" i="26"/>
  <c r="V605" i="26"/>
  <c r="V597" i="26"/>
  <c r="V595" i="26"/>
  <c r="V639" i="26"/>
  <c r="V647" i="26"/>
  <c r="V650" i="26"/>
  <c r="V653" i="26"/>
  <c r="V661" i="26"/>
  <c r="V673" i="26"/>
  <c r="V679" i="26"/>
  <c r="V700" i="26"/>
  <c r="V698" i="26"/>
  <c r="V824" i="26"/>
  <c r="V813" i="26"/>
  <c r="V918" i="26"/>
  <c r="V567" i="26"/>
  <c r="V625" i="26"/>
  <c r="V585" i="26"/>
  <c r="V607" i="26"/>
  <c r="V616" i="26"/>
  <c r="V612" i="26"/>
  <c r="V603" i="26"/>
  <c r="V614" i="26"/>
  <c r="V656" i="26"/>
  <c r="V635" i="26"/>
  <c r="V655" i="26"/>
  <c r="V649" i="26"/>
  <c r="V667" i="26"/>
  <c r="V654" i="26"/>
  <c r="V638" i="26"/>
  <c r="V640" i="26"/>
  <c r="V684" i="26"/>
  <c r="V687" i="26"/>
  <c r="V691" i="26"/>
  <c r="V701" i="26"/>
  <c r="V829" i="26"/>
  <c r="V810" i="26"/>
  <c r="V814" i="26"/>
  <c r="V874" i="26"/>
  <c r="V695" i="26"/>
  <c r="V696" i="26"/>
  <c r="V819" i="26"/>
  <c r="V820" i="26"/>
  <c r="V817" i="26"/>
  <c r="V809" i="26"/>
  <c r="V808" i="26"/>
  <c r="V873" i="26"/>
  <c r="V900" i="26"/>
  <c r="V907" i="26"/>
  <c r="V909" i="26"/>
  <c r="V903" i="26"/>
  <c r="V905" i="26"/>
  <c r="V913" i="26"/>
  <c r="V912" i="26"/>
  <c r="V914" i="26"/>
  <c r="V899" i="26"/>
  <c r="V897" i="26"/>
  <c r="V910" i="26"/>
  <c r="V911" i="26"/>
  <c r="V908" i="26"/>
  <c r="V904" i="26"/>
  <c r="V901" i="26"/>
  <c r="V906" i="26"/>
  <c r="V898" i="26"/>
  <c r="V658" i="26"/>
  <c r="V642" i="26"/>
  <c r="V682" i="26"/>
  <c r="V674" i="26"/>
  <c r="V677" i="26"/>
  <c r="V692" i="26"/>
  <c r="V704" i="26"/>
  <c r="V693" i="26"/>
  <c r="V827" i="26"/>
  <c r="V825" i="26"/>
  <c r="V830" i="26"/>
  <c r="V816" i="26"/>
  <c r="V828" i="26"/>
  <c r="V823" i="26"/>
  <c r="V872" i="26"/>
  <c r="V916" i="26"/>
  <c r="V920" i="26"/>
  <c r="U922" i="26"/>
  <c r="U920" i="26"/>
  <c r="U916" i="26"/>
  <c r="U912" i="26"/>
  <c r="U900" i="26"/>
  <c r="U853" i="26"/>
  <c r="U855" i="26"/>
  <c r="U854" i="26"/>
  <c r="U860" i="26"/>
  <c r="U847" i="26"/>
  <c r="U858" i="26"/>
  <c r="U811" i="26"/>
  <c r="U820" i="26"/>
  <c r="AA820" i="26" s="1"/>
  <c r="AB820" i="26" s="1"/>
  <c r="AC820" i="26" s="1"/>
  <c r="AD820" i="26" s="1"/>
  <c r="AF820" i="26" s="1"/>
  <c r="U813" i="26"/>
  <c r="U816" i="26"/>
  <c r="U829" i="26"/>
  <c r="U703" i="26"/>
  <c r="U694" i="26"/>
  <c r="U698" i="26"/>
  <c r="U690" i="26"/>
  <c r="U684" i="26"/>
  <c r="U679" i="26"/>
  <c r="U655" i="26"/>
  <c r="U665" i="26"/>
  <c r="U646" i="26"/>
  <c r="U642" i="26"/>
  <c r="U650" i="26"/>
  <c r="U644" i="26"/>
  <c r="U653" i="26"/>
  <c r="U641" i="26"/>
  <c r="U643" i="26"/>
  <c r="U623" i="26"/>
  <c r="U609" i="26"/>
  <c r="U624" i="26"/>
  <c r="U570" i="26"/>
  <c r="U621" i="26"/>
  <c r="U589" i="26"/>
  <c r="U587" i="26"/>
  <c r="U607" i="26"/>
  <c r="U569" i="26"/>
  <c r="U604" i="26"/>
  <c r="U567" i="26"/>
  <c r="U597" i="26"/>
  <c r="U603" i="26"/>
  <c r="U626" i="26"/>
  <c r="U611" i="26"/>
  <c r="U563" i="26"/>
  <c r="U531" i="26"/>
  <c r="U555" i="26"/>
  <c r="U545" i="26"/>
  <c r="U514" i="26"/>
  <c r="U529" i="26"/>
  <c r="U558" i="26"/>
  <c r="U506" i="26"/>
  <c r="U548" i="26"/>
  <c r="U536" i="26"/>
  <c r="U512" i="26"/>
  <c r="U560" i="26"/>
  <c r="U534" i="26"/>
  <c r="U557" i="26"/>
  <c r="U543" i="26"/>
  <c r="U524" i="26"/>
  <c r="U323" i="26"/>
  <c r="U314" i="26"/>
  <c r="U320" i="26"/>
  <c r="U306" i="26"/>
  <c r="U343" i="26"/>
  <c r="U337" i="26"/>
  <c r="U338" i="26"/>
  <c r="U316" i="26"/>
  <c r="U336" i="26"/>
  <c r="U303" i="26"/>
  <c r="U327" i="26"/>
  <c r="U346" i="26"/>
  <c r="U917" i="26"/>
  <c r="U913" i="26"/>
  <c r="U908" i="26"/>
  <c r="U907" i="26"/>
  <c r="U851" i="26"/>
  <c r="U852" i="26"/>
  <c r="U859" i="26"/>
  <c r="U845" i="26"/>
  <c r="U861" i="26"/>
  <c r="U808" i="26"/>
  <c r="AA808" i="26" s="1"/>
  <c r="AB808" i="26" s="1"/>
  <c r="AC808" i="26" s="1"/>
  <c r="AD808" i="26" s="1"/>
  <c r="AF808" i="26" s="1"/>
  <c r="U826" i="26"/>
  <c r="U830" i="26"/>
  <c r="U814" i="26"/>
  <c r="U815" i="26"/>
  <c r="U825" i="26"/>
  <c r="U704" i="26"/>
  <c r="U692" i="26"/>
  <c r="U693" i="26"/>
  <c r="U686" i="26"/>
  <c r="U676" i="26"/>
  <c r="U675" i="26"/>
  <c r="U673" i="26"/>
  <c r="U657" i="26"/>
  <c r="U652" i="26"/>
  <c r="U654" i="26"/>
  <c r="U667" i="26"/>
  <c r="U636" i="26"/>
  <c r="U670" i="26"/>
  <c r="U639" i="26"/>
  <c r="U572" i="26"/>
  <c r="U596" i="26"/>
  <c r="U566" i="26"/>
  <c r="U584" i="26"/>
  <c r="U613" i="26"/>
  <c r="U620" i="26"/>
  <c r="U591" i="26"/>
  <c r="U616" i="26"/>
  <c r="U583" i="26"/>
  <c r="U618" i="26"/>
  <c r="U612" i="26"/>
  <c r="U565" i="26"/>
  <c r="U585" i="26"/>
  <c r="U590" i="26"/>
  <c r="U582" i="26"/>
  <c r="U594" i="26"/>
  <c r="U517" i="26"/>
  <c r="U505" i="26"/>
  <c r="U547" i="26"/>
  <c r="U499" i="26"/>
  <c r="U522" i="26"/>
  <c r="U500" i="26"/>
  <c r="U554" i="26"/>
  <c r="U498" i="26"/>
  <c r="U519" i="26"/>
  <c r="U532" i="26"/>
  <c r="U518" i="26"/>
  <c r="U504" i="26"/>
  <c r="U526" i="26"/>
  <c r="U523" i="26"/>
  <c r="U497" i="26"/>
  <c r="U525" i="26"/>
  <c r="U331" i="26"/>
  <c r="U322" i="26"/>
  <c r="U313" i="26"/>
  <c r="U302" i="26"/>
  <c r="U347" i="26"/>
  <c r="U329" i="26"/>
  <c r="U332" i="26"/>
  <c r="U344" i="26"/>
  <c r="U305" i="26"/>
  <c r="U307" i="26"/>
  <c r="U318" i="26"/>
  <c r="U918" i="26"/>
  <c r="U914" i="26"/>
  <c r="U910" i="26"/>
  <c r="U906" i="26"/>
  <c r="U873" i="26"/>
  <c r="U871" i="26"/>
  <c r="U846" i="26"/>
  <c r="U849" i="26"/>
  <c r="U870" i="26"/>
  <c r="U817" i="26"/>
  <c r="U810" i="26"/>
  <c r="U823" i="26"/>
  <c r="U809" i="26"/>
  <c r="AA809" i="26" s="1"/>
  <c r="AB809" i="26" s="1"/>
  <c r="AC809" i="26" s="1"/>
  <c r="AD809" i="26" s="1"/>
  <c r="AF809" i="26" s="1"/>
  <c r="U827" i="26"/>
  <c r="U821" i="26"/>
  <c r="U695" i="26"/>
  <c r="U696" i="26"/>
  <c r="U691" i="26"/>
  <c r="U682" i="26"/>
  <c r="AA682" i="26" s="1"/>
  <c r="AB682" i="26" s="1"/>
  <c r="AC682" i="26" s="1"/>
  <c r="AD682" i="26" s="1"/>
  <c r="AF682" i="26" s="1"/>
  <c r="U685" i="26"/>
  <c r="U677" i="26"/>
  <c r="AA677" i="26" s="1"/>
  <c r="AB677" i="26" s="1"/>
  <c r="AC677" i="26" s="1"/>
  <c r="AD677" i="26" s="1"/>
  <c r="AF677" i="26" s="1"/>
  <c r="U648" i="26"/>
  <c r="U649" i="26"/>
  <c r="U661" i="26"/>
  <c r="U651" i="26"/>
  <c r="U640" i="26"/>
  <c r="U666" i="26"/>
  <c r="U647" i="26"/>
  <c r="U635" i="26"/>
  <c r="U634" i="26"/>
  <c r="U586" i="26"/>
  <c r="U617" i="26"/>
  <c r="U630" i="26"/>
  <c r="U588" i="26"/>
  <c r="U577" i="26"/>
  <c r="U625" i="26"/>
  <c r="U602" i="26"/>
  <c r="U595" i="26"/>
  <c r="U579" i="26"/>
  <c r="U601" i="26"/>
  <c r="U605" i="26"/>
  <c r="U606" i="26"/>
  <c r="U578" i="26"/>
  <c r="U592" i="26"/>
  <c r="U564" i="26"/>
  <c r="U535" i="26"/>
  <c r="U537" i="26"/>
  <c r="U553" i="26"/>
  <c r="U503" i="26"/>
  <c r="U513" i="26"/>
  <c r="U511" i="26"/>
  <c r="U550" i="26"/>
  <c r="U527" i="26"/>
  <c r="U538" i="26"/>
  <c r="U520" i="26"/>
  <c r="U496" i="26"/>
  <c r="U508" i="26"/>
  <c r="U528" i="26"/>
  <c r="U516" i="26"/>
  <c r="U559" i="26"/>
  <c r="U495" i="26"/>
  <c r="U300" i="26"/>
  <c r="U339" i="26"/>
  <c r="U328" i="26"/>
  <c r="U345" i="26"/>
  <c r="U341" i="26"/>
  <c r="U312" i="26"/>
  <c r="U309" i="26"/>
  <c r="U326" i="26"/>
  <c r="U324" i="26"/>
  <c r="U301" i="26"/>
  <c r="U342" i="26"/>
  <c r="U668" i="26"/>
  <c r="U911" i="26"/>
  <c r="U843" i="26"/>
  <c r="U824" i="26"/>
  <c r="U819" i="26"/>
  <c r="U674" i="26"/>
  <c r="U656" i="26"/>
  <c r="U638" i="26"/>
  <c r="U615" i="26"/>
  <c r="U574" i="26"/>
  <c r="U571" i="26"/>
  <c r="U598" i="26"/>
  <c r="U539" i="26"/>
  <c r="U521" i="26"/>
  <c r="U530" i="26"/>
  <c r="U509" i="26"/>
  <c r="U349" i="26"/>
  <c r="U335" i="26"/>
  <c r="U544" i="26"/>
  <c r="U901" i="26"/>
  <c r="U874" i="26"/>
  <c r="U702" i="26"/>
  <c r="U637" i="26"/>
  <c r="U581" i="26"/>
  <c r="U501" i="26"/>
  <c r="U556" i="26"/>
  <c r="U542" i="26"/>
  <c r="U310" i="26"/>
  <c r="U909" i="26"/>
  <c r="U844" i="26"/>
  <c r="U872" i="26"/>
  <c r="U828" i="26"/>
  <c r="AA828" i="26" s="1"/>
  <c r="AB828" i="26" s="1"/>
  <c r="AC828" i="26" s="1"/>
  <c r="AD828" i="26" s="1"/>
  <c r="AF828" i="26" s="1"/>
  <c r="U701" i="26"/>
  <c r="U680" i="26"/>
  <c r="U662" i="26"/>
  <c r="U658" i="26"/>
  <c r="AA658" i="26" s="1"/>
  <c r="AB658" i="26" s="1"/>
  <c r="AC658" i="26" s="1"/>
  <c r="AD658" i="26" s="1"/>
  <c r="AF658" i="26" s="1"/>
  <c r="U568" i="26"/>
  <c r="U608" i="26"/>
  <c r="U593" i="26"/>
  <c r="U628" i="26"/>
  <c r="U533" i="26"/>
  <c r="U546" i="26"/>
  <c r="U502" i="26"/>
  <c r="U551" i="26"/>
  <c r="U304" i="26"/>
  <c r="U321" i="26"/>
  <c r="U311" i="26"/>
  <c r="U919" i="26"/>
  <c r="AA919" i="26" s="1"/>
  <c r="AB919" i="26" s="1"/>
  <c r="AC919" i="26" s="1"/>
  <c r="AD919" i="26" s="1"/>
  <c r="AF919" i="26" s="1"/>
  <c r="U856" i="26"/>
  <c r="U850" i="26"/>
  <c r="U700" i="26"/>
  <c r="U687" i="26"/>
  <c r="U663" i="26"/>
  <c r="U664" i="26"/>
  <c r="U622" i="26"/>
  <c r="U614" i="26"/>
  <c r="U575" i="26"/>
  <c r="U576" i="26"/>
  <c r="U549" i="26"/>
  <c r="U510" i="26"/>
  <c r="U515" i="26"/>
  <c r="U330" i="26"/>
  <c r="U319" i="26"/>
  <c r="U340" i="26"/>
  <c r="U848" i="26"/>
  <c r="U831" i="26"/>
  <c r="U681" i="26"/>
  <c r="U580" i="26"/>
  <c r="U627" i="26"/>
  <c r="U299" i="26"/>
  <c r="U315" i="26"/>
  <c r="U333" i="26"/>
  <c r="U898" i="26"/>
  <c r="U905" i="26"/>
  <c r="U865" i="26"/>
  <c r="U866" i="26"/>
  <c r="U903" i="26"/>
  <c r="U899" i="26"/>
  <c r="U904" i="26"/>
  <c r="U868" i="26"/>
  <c r="U893" i="26"/>
  <c r="U864" i="26"/>
  <c r="U867" i="26"/>
  <c r="U894" i="26"/>
  <c r="U863" i="26"/>
  <c r="U892" i="26"/>
  <c r="Q944" i="26"/>
  <c r="Q1094" i="26" s="1"/>
  <c r="Q1095" i="26" s="1"/>
  <c r="R944" i="26"/>
  <c r="AA612" i="26" l="1"/>
  <c r="AB612" i="26" s="1"/>
  <c r="AC612" i="26" s="1"/>
  <c r="AD612" i="26" s="1"/>
  <c r="AF612" i="26" s="1"/>
  <c r="AA625" i="26"/>
  <c r="AB625" i="26" s="1"/>
  <c r="AC625" i="26" s="1"/>
  <c r="AD625" i="26" s="1"/>
  <c r="AF625" i="26" s="1"/>
  <c r="AA819" i="26"/>
  <c r="AB819" i="26" s="1"/>
  <c r="AC819" i="26" s="1"/>
  <c r="AD819" i="26" s="1"/>
  <c r="AF819" i="26" s="1"/>
  <c r="AA701" i="26"/>
  <c r="AB701" i="26" s="1"/>
  <c r="AC701" i="26" s="1"/>
  <c r="AD701" i="26" s="1"/>
  <c r="AF701" i="26" s="1"/>
  <c r="AA640" i="26"/>
  <c r="AB640" i="26" s="1"/>
  <c r="AC640" i="26" s="1"/>
  <c r="AD640" i="26" s="1"/>
  <c r="AF640" i="26" s="1"/>
  <c r="AA614" i="26"/>
  <c r="AB614" i="26" s="1"/>
  <c r="AC614" i="26" s="1"/>
  <c r="AD614" i="26" s="1"/>
  <c r="AF614" i="26" s="1"/>
  <c r="AA656" i="26"/>
  <c r="AB656" i="26" s="1"/>
  <c r="AC656" i="26" s="1"/>
  <c r="AD656" i="26" s="1"/>
  <c r="AF656" i="26" s="1"/>
  <c r="AA684" i="26"/>
  <c r="AB684" i="26" s="1"/>
  <c r="AC684" i="26" s="1"/>
  <c r="AD684" i="26" s="1"/>
  <c r="AF684" i="26" s="1"/>
  <c r="AA814" i="26"/>
  <c r="AB814" i="26" s="1"/>
  <c r="AC814" i="26" s="1"/>
  <c r="AD814" i="26" s="1"/>
  <c r="AF814" i="26" s="1"/>
  <c r="AA874" i="26"/>
  <c r="AB874" i="26" s="1"/>
  <c r="AC874" i="26" s="1"/>
  <c r="AD874" i="26" s="1"/>
  <c r="AF874" i="26" s="1"/>
  <c r="AA780" i="26"/>
  <c r="AB780" i="26" s="1"/>
  <c r="AC780" i="26" s="1"/>
  <c r="AD780" i="26" s="1"/>
  <c r="AF780" i="26" s="1"/>
  <c r="AA759" i="26"/>
  <c r="AB759" i="26" s="1"/>
  <c r="AC759" i="26" s="1"/>
  <c r="AD759" i="26" s="1"/>
  <c r="AF759" i="26" s="1"/>
  <c r="T944" i="26"/>
  <c r="T946" i="26" s="1"/>
  <c r="AA361" i="26"/>
  <c r="AB361" i="26" s="1"/>
  <c r="AC361" i="26" s="1"/>
  <c r="AD361" i="26" s="1"/>
  <c r="AF361" i="26" s="1"/>
  <c r="AA779" i="26"/>
  <c r="AB779" i="26" s="1"/>
  <c r="AC779" i="26" s="1"/>
  <c r="AD779" i="26" s="1"/>
  <c r="AF779" i="26" s="1"/>
  <c r="AA805" i="26"/>
  <c r="AB805" i="26" s="1"/>
  <c r="AC805" i="26" s="1"/>
  <c r="AD805" i="26" s="1"/>
  <c r="AF805" i="26" s="1"/>
  <c r="AA768" i="26"/>
  <c r="AB768" i="26" s="1"/>
  <c r="AC768" i="26" s="1"/>
  <c r="AD768" i="26" s="1"/>
  <c r="AF768" i="26" s="1"/>
  <c r="AA787" i="26"/>
  <c r="AB787" i="26" s="1"/>
  <c r="AC787" i="26" s="1"/>
  <c r="AD787" i="26" s="1"/>
  <c r="AF787" i="26" s="1"/>
  <c r="AA681" i="26"/>
  <c r="AB681" i="26" s="1"/>
  <c r="AC681" i="26" s="1"/>
  <c r="AD681" i="26" s="1"/>
  <c r="AF681" i="26" s="1"/>
  <c r="AA628" i="26"/>
  <c r="AB628" i="26" s="1"/>
  <c r="AC628" i="26" s="1"/>
  <c r="AD628" i="26" s="1"/>
  <c r="AF628" i="26" s="1"/>
  <c r="AA605" i="26"/>
  <c r="AB605" i="26" s="1"/>
  <c r="AC605" i="26" s="1"/>
  <c r="AD605" i="26" s="1"/>
  <c r="AF605" i="26" s="1"/>
  <c r="AA525" i="26"/>
  <c r="AB525" i="26" s="1"/>
  <c r="AC525" i="26" s="1"/>
  <c r="AD525" i="26" s="1"/>
  <c r="AF525" i="26" s="1"/>
  <c r="AA504" i="26"/>
  <c r="AB504" i="26" s="1"/>
  <c r="AC504" i="26" s="1"/>
  <c r="AD504" i="26" s="1"/>
  <c r="AF504" i="26" s="1"/>
  <c r="AA802" i="26"/>
  <c r="AB802" i="26" s="1"/>
  <c r="AC802" i="26" s="1"/>
  <c r="AD802" i="26" s="1"/>
  <c r="AF802" i="26" s="1"/>
  <c r="AA764" i="26"/>
  <c r="AB764" i="26" s="1"/>
  <c r="AC764" i="26" s="1"/>
  <c r="AD764" i="26" s="1"/>
  <c r="AF764" i="26" s="1"/>
  <c r="AA304" i="26"/>
  <c r="AB304" i="26" s="1"/>
  <c r="AC304" i="26" s="1"/>
  <c r="AD304" i="26" s="1"/>
  <c r="AF304" i="26" s="1"/>
  <c r="AA517" i="26"/>
  <c r="AB517" i="26" s="1"/>
  <c r="AC517" i="26" s="1"/>
  <c r="AD517" i="26" s="1"/>
  <c r="AF517" i="26" s="1"/>
  <c r="AA623" i="26"/>
  <c r="AB623" i="26" s="1"/>
  <c r="AC623" i="26" s="1"/>
  <c r="AD623" i="26" s="1"/>
  <c r="AF623" i="26" s="1"/>
  <c r="AA775" i="26"/>
  <c r="AB775" i="26" s="1"/>
  <c r="AC775" i="26" s="1"/>
  <c r="AD775" i="26" s="1"/>
  <c r="AF775" i="26" s="1"/>
  <c r="AA765" i="26"/>
  <c r="AB765" i="26" s="1"/>
  <c r="AC765" i="26" s="1"/>
  <c r="AD765" i="26" s="1"/>
  <c r="AF765" i="26" s="1"/>
  <c r="AA241" i="26"/>
  <c r="AB241" i="26" s="1"/>
  <c r="AC241" i="26" s="1"/>
  <c r="AD241" i="26" s="1"/>
  <c r="AF241" i="26" s="1"/>
  <c r="AA758" i="26"/>
  <c r="AB758" i="26" s="1"/>
  <c r="AC758" i="26" s="1"/>
  <c r="AD758" i="26" s="1"/>
  <c r="AF758" i="26" s="1"/>
  <c r="AA774" i="26"/>
  <c r="AB774" i="26" s="1"/>
  <c r="AC774" i="26" s="1"/>
  <c r="AD774" i="26" s="1"/>
  <c r="AF774" i="26" s="1"/>
  <c r="AA781" i="26"/>
  <c r="AB781" i="26" s="1"/>
  <c r="AC781" i="26" s="1"/>
  <c r="AD781" i="26" s="1"/>
  <c r="AF781" i="26" s="1"/>
  <c r="AA799" i="26"/>
  <c r="AB799" i="26" s="1"/>
  <c r="AC799" i="26" s="1"/>
  <c r="AD799" i="26" s="1"/>
  <c r="AF799" i="26" s="1"/>
  <c r="AA770" i="26"/>
  <c r="AB770" i="26" s="1"/>
  <c r="AC770" i="26" s="1"/>
  <c r="AD770" i="26" s="1"/>
  <c r="AF770" i="26" s="1"/>
  <c r="AA788" i="26"/>
  <c r="AB788" i="26" s="1"/>
  <c r="AC788" i="26" s="1"/>
  <c r="AD788" i="26" s="1"/>
  <c r="AF788" i="26" s="1"/>
  <c r="AA792" i="26"/>
  <c r="AB792" i="26" s="1"/>
  <c r="AC792" i="26" s="1"/>
  <c r="AD792" i="26" s="1"/>
  <c r="AF792" i="26" s="1"/>
  <c r="AA242" i="26"/>
  <c r="AB242" i="26" s="1"/>
  <c r="AC242" i="26" s="1"/>
  <c r="AD242" i="26" s="1"/>
  <c r="AF242" i="26" s="1"/>
  <c r="AA782" i="26"/>
  <c r="AB782" i="26" s="1"/>
  <c r="AC782" i="26" s="1"/>
  <c r="AD782" i="26" s="1"/>
  <c r="AF782" i="26" s="1"/>
  <c r="AA773" i="26"/>
  <c r="AB773" i="26" s="1"/>
  <c r="AC773" i="26" s="1"/>
  <c r="AD773" i="26" s="1"/>
  <c r="AF773" i="26" s="1"/>
  <c r="AA795" i="26"/>
  <c r="AB795" i="26" s="1"/>
  <c r="AC795" i="26" s="1"/>
  <c r="AD795" i="26" s="1"/>
  <c r="AF795" i="26" s="1"/>
  <c r="AA789" i="26"/>
  <c r="AB789" i="26" s="1"/>
  <c r="AC789" i="26" s="1"/>
  <c r="AD789" i="26" s="1"/>
  <c r="AF789" i="26" s="1"/>
  <c r="AA776" i="26"/>
  <c r="AB776" i="26" s="1"/>
  <c r="AC776" i="26" s="1"/>
  <c r="AD776" i="26" s="1"/>
  <c r="AF776" i="26" s="1"/>
  <c r="AA766" i="26"/>
  <c r="AB766" i="26" s="1"/>
  <c r="AC766" i="26" s="1"/>
  <c r="AD766" i="26" s="1"/>
  <c r="AF766" i="26" s="1"/>
  <c r="AA771" i="26"/>
  <c r="AB771" i="26" s="1"/>
  <c r="AC771" i="26" s="1"/>
  <c r="AD771" i="26" s="1"/>
  <c r="AF771" i="26" s="1"/>
  <c r="AA754" i="26"/>
  <c r="AB754" i="26" s="1"/>
  <c r="AC754" i="26" s="1"/>
  <c r="AD754" i="26" s="1"/>
  <c r="AF754" i="26" s="1"/>
  <c r="AA555" i="26"/>
  <c r="AB555" i="26" s="1"/>
  <c r="AC555" i="26" s="1"/>
  <c r="AD555" i="26" s="1"/>
  <c r="AF555" i="26" s="1"/>
  <c r="AA653" i="26"/>
  <c r="AB653" i="26" s="1"/>
  <c r="AC653" i="26" s="1"/>
  <c r="AD653" i="26" s="1"/>
  <c r="AF653" i="26" s="1"/>
  <c r="AA796" i="26"/>
  <c r="AB796" i="26" s="1"/>
  <c r="AC796" i="26" s="1"/>
  <c r="AD796" i="26" s="1"/>
  <c r="AF796" i="26" s="1"/>
  <c r="AF797" i="26"/>
  <c r="AA767" i="26"/>
  <c r="AB767" i="26" s="1"/>
  <c r="AC767" i="26" s="1"/>
  <c r="AD767" i="26" s="1"/>
  <c r="AF767" i="26" s="1"/>
  <c r="AA757" i="26"/>
  <c r="AB757" i="26" s="1"/>
  <c r="AC757" i="26" s="1"/>
  <c r="AD757" i="26" s="1"/>
  <c r="AF757" i="26" s="1"/>
  <c r="AA790" i="26"/>
  <c r="AB790" i="26" s="1"/>
  <c r="AC790" i="26" s="1"/>
  <c r="AD790" i="26" s="1"/>
  <c r="AF790" i="26" s="1"/>
  <c r="AF801" i="26"/>
  <c r="AA760" i="26"/>
  <c r="AB760" i="26" s="1"/>
  <c r="AC760" i="26" s="1"/>
  <c r="AD760" i="26" s="1"/>
  <c r="AF760" i="26" s="1"/>
  <c r="AA755" i="26"/>
  <c r="AB755" i="26" s="1"/>
  <c r="AC755" i="26" s="1"/>
  <c r="AD755" i="26" s="1"/>
  <c r="AF755" i="26" s="1"/>
  <c r="AA772" i="26"/>
  <c r="AB772" i="26" s="1"/>
  <c r="AC772" i="26" s="1"/>
  <c r="AD772" i="26" s="1"/>
  <c r="AF772" i="26" s="1"/>
  <c r="AA763" i="26"/>
  <c r="AB763" i="26" s="1"/>
  <c r="AC763" i="26" s="1"/>
  <c r="AD763" i="26" s="1"/>
  <c r="AF763" i="26" s="1"/>
  <c r="AF777" i="26"/>
  <c r="AA798" i="26"/>
  <c r="AB798" i="26" s="1"/>
  <c r="AC798" i="26" s="1"/>
  <c r="AD798" i="26" s="1"/>
  <c r="AF798" i="26" s="1"/>
  <c r="AA791" i="26"/>
  <c r="AB791" i="26" s="1"/>
  <c r="AC791" i="26" s="1"/>
  <c r="AD791" i="26" s="1"/>
  <c r="AF791" i="26" s="1"/>
  <c r="AF769" i="26"/>
  <c r="AA756" i="26"/>
  <c r="AB756" i="26" s="1"/>
  <c r="AC756" i="26" s="1"/>
  <c r="AD756" i="26" s="1"/>
  <c r="AF756" i="26" s="1"/>
  <c r="AA800" i="26"/>
  <c r="AB800" i="26" s="1"/>
  <c r="AC800" i="26" s="1"/>
  <c r="AD800" i="26" s="1"/>
  <c r="AF800" i="26" s="1"/>
  <c r="AA761" i="26"/>
  <c r="AB761" i="26" s="1"/>
  <c r="AC761" i="26" s="1"/>
  <c r="AD761" i="26" s="1"/>
  <c r="AF761" i="26" s="1"/>
  <c r="AA784" i="26"/>
  <c r="AB784" i="26" s="1"/>
  <c r="AC784" i="26" s="1"/>
  <c r="AD784" i="26" s="1"/>
  <c r="AF784" i="26" s="1"/>
  <c r="AA793" i="26"/>
  <c r="AB793" i="26" s="1"/>
  <c r="AC793" i="26" s="1"/>
  <c r="AD793" i="26" s="1"/>
  <c r="AF793" i="26" s="1"/>
  <c r="AA783" i="26"/>
  <c r="AB783" i="26" s="1"/>
  <c r="AC783" i="26" s="1"/>
  <c r="AD783" i="26" s="1"/>
  <c r="AF783" i="26" s="1"/>
  <c r="AF762" i="26"/>
  <c r="AA778" i="26"/>
  <c r="AB778" i="26" s="1"/>
  <c r="AC778" i="26" s="1"/>
  <c r="AD778" i="26" s="1"/>
  <c r="AF778" i="26" s="1"/>
  <c r="AA786" i="26"/>
  <c r="AB786" i="26" s="1"/>
  <c r="AC786" i="26" s="1"/>
  <c r="AD786" i="26" s="1"/>
  <c r="AF786" i="26" s="1"/>
  <c r="AA803" i="26"/>
  <c r="AB803" i="26" s="1"/>
  <c r="AC803" i="26" s="1"/>
  <c r="AD803" i="26" s="1"/>
  <c r="AF803" i="26" s="1"/>
  <c r="AA794" i="26"/>
  <c r="AB794" i="26" s="1"/>
  <c r="AC794" i="26" s="1"/>
  <c r="AD794" i="26" s="1"/>
  <c r="AF794" i="26" s="1"/>
  <c r="AA734" i="26"/>
  <c r="AB734" i="26" s="1"/>
  <c r="AC734" i="26" s="1"/>
  <c r="AD734" i="26" s="1"/>
  <c r="AF734" i="26" s="1"/>
  <c r="AA740" i="26"/>
  <c r="AB740" i="26" s="1"/>
  <c r="AC740" i="26" s="1"/>
  <c r="AD740" i="26" s="1"/>
  <c r="AF740" i="26" s="1"/>
  <c r="AF750" i="26"/>
  <c r="AA725" i="26"/>
  <c r="AB725" i="26" s="1"/>
  <c r="AC725" i="26" s="1"/>
  <c r="AD725" i="26" s="1"/>
  <c r="AF725" i="26" s="1"/>
  <c r="AA751" i="26"/>
  <c r="AB751" i="26" s="1"/>
  <c r="AC751" i="26" s="1"/>
  <c r="AD751" i="26" s="1"/>
  <c r="AF751" i="26" s="1"/>
  <c r="AF713" i="26"/>
  <c r="AA710" i="26"/>
  <c r="AB710" i="26" s="1"/>
  <c r="AC710" i="26" s="1"/>
  <c r="AD710" i="26" s="1"/>
  <c r="AF710" i="26" s="1"/>
  <c r="AF746" i="26"/>
  <c r="AA715" i="26"/>
  <c r="AB715" i="26" s="1"/>
  <c r="AC715" i="26" s="1"/>
  <c r="AD715" i="26" s="1"/>
  <c r="AF715" i="26" s="1"/>
  <c r="AA737" i="26"/>
  <c r="AB737" i="26" s="1"/>
  <c r="AC737" i="26" s="1"/>
  <c r="AD737" i="26" s="1"/>
  <c r="AF737" i="26" s="1"/>
  <c r="AA722" i="26"/>
  <c r="AB722" i="26" s="1"/>
  <c r="AC722" i="26" s="1"/>
  <c r="AD722" i="26" s="1"/>
  <c r="AF722" i="26" s="1"/>
  <c r="AA742" i="26"/>
  <c r="AB742" i="26" s="1"/>
  <c r="AC742" i="26" s="1"/>
  <c r="AD742" i="26" s="1"/>
  <c r="AF742" i="26" s="1"/>
  <c r="AF728" i="26"/>
  <c r="AA707" i="26"/>
  <c r="AB707" i="26" s="1"/>
  <c r="AC707" i="26" s="1"/>
  <c r="AD707" i="26" s="1"/>
  <c r="AF707" i="26" s="1"/>
  <c r="AA733" i="26"/>
  <c r="AB733" i="26" s="1"/>
  <c r="AC733" i="26" s="1"/>
  <c r="AD733" i="26" s="1"/>
  <c r="AF733" i="26" s="1"/>
  <c r="AA724" i="26"/>
  <c r="AB724" i="26" s="1"/>
  <c r="AC724" i="26" s="1"/>
  <c r="AD724" i="26" s="1"/>
  <c r="AF724" i="26" s="1"/>
  <c r="AA718" i="26"/>
  <c r="AB718" i="26" s="1"/>
  <c r="AC718" i="26" s="1"/>
  <c r="AD718" i="26" s="1"/>
  <c r="AF718" i="26" s="1"/>
  <c r="AA711" i="26"/>
  <c r="AB711" i="26" s="1"/>
  <c r="AC711" i="26" s="1"/>
  <c r="AD711" i="26" s="1"/>
  <c r="AF711" i="26" s="1"/>
  <c r="AA747" i="26"/>
  <c r="AB747" i="26" s="1"/>
  <c r="AC747" i="26" s="1"/>
  <c r="AD747" i="26" s="1"/>
  <c r="AF747" i="26" s="1"/>
  <c r="AA731" i="26"/>
  <c r="AB731" i="26" s="1"/>
  <c r="AC731" i="26" s="1"/>
  <c r="AD731" i="26" s="1"/>
  <c r="AF731" i="26" s="1"/>
  <c r="AA719" i="26"/>
  <c r="AB719" i="26" s="1"/>
  <c r="AC719" i="26" s="1"/>
  <c r="AD719" i="26" s="1"/>
  <c r="AF719" i="26" s="1"/>
  <c r="AA721" i="26"/>
  <c r="AB721" i="26" s="1"/>
  <c r="AC721" i="26" s="1"/>
  <c r="AD721" i="26" s="1"/>
  <c r="AF721" i="26" s="1"/>
  <c r="AA723" i="26"/>
  <c r="AB723" i="26" s="1"/>
  <c r="AC723" i="26" s="1"/>
  <c r="AD723" i="26" s="1"/>
  <c r="AF723" i="26" s="1"/>
  <c r="AF720" i="26"/>
  <c r="AA748" i="26"/>
  <c r="AB748" i="26" s="1"/>
  <c r="AC748" i="26" s="1"/>
  <c r="AD748" i="26" s="1"/>
  <c r="AF748" i="26" s="1"/>
  <c r="AA739" i="26"/>
  <c r="AB739" i="26" s="1"/>
  <c r="AC739" i="26" s="1"/>
  <c r="AD739" i="26" s="1"/>
  <c r="AF739" i="26" s="1"/>
  <c r="AA743" i="26"/>
  <c r="AB743" i="26" s="1"/>
  <c r="AC743" i="26" s="1"/>
  <c r="AD743" i="26" s="1"/>
  <c r="AF743" i="26" s="1"/>
  <c r="AA749" i="26"/>
  <c r="AB749" i="26" s="1"/>
  <c r="AC749" i="26" s="1"/>
  <c r="AD749" i="26" s="1"/>
  <c r="AF749" i="26" s="1"/>
  <c r="AA709" i="26"/>
  <c r="AB709" i="26" s="1"/>
  <c r="AC709" i="26" s="1"/>
  <c r="AD709" i="26" s="1"/>
  <c r="AF709" i="26" s="1"/>
  <c r="AA726" i="26"/>
  <c r="AB726" i="26" s="1"/>
  <c r="AC726" i="26" s="1"/>
  <c r="AD726" i="26" s="1"/>
  <c r="AF726" i="26" s="1"/>
  <c r="AA712" i="26"/>
  <c r="AB712" i="26" s="1"/>
  <c r="AC712" i="26" s="1"/>
  <c r="AD712" i="26" s="1"/>
  <c r="AF712" i="26" s="1"/>
  <c r="AA745" i="26"/>
  <c r="AB745" i="26" s="1"/>
  <c r="AC745" i="26" s="1"/>
  <c r="AD745" i="26" s="1"/>
  <c r="AF745" i="26" s="1"/>
  <c r="AA716" i="26"/>
  <c r="AB716" i="26" s="1"/>
  <c r="AC716" i="26" s="1"/>
  <c r="AD716" i="26" s="1"/>
  <c r="AF716" i="26" s="1"/>
  <c r="AA741" i="26"/>
  <c r="AB741" i="26" s="1"/>
  <c r="AC741" i="26" s="1"/>
  <c r="AD741" i="26" s="1"/>
  <c r="AF741" i="26" s="1"/>
  <c r="AF736" i="26"/>
  <c r="AA744" i="26"/>
  <c r="AB744" i="26" s="1"/>
  <c r="AC744" i="26" s="1"/>
  <c r="AD744" i="26" s="1"/>
  <c r="AF744" i="26" s="1"/>
  <c r="AA727" i="26"/>
  <c r="AB727" i="26" s="1"/>
  <c r="AC727" i="26" s="1"/>
  <c r="AD727" i="26" s="1"/>
  <c r="AF727" i="26" s="1"/>
  <c r="AA735" i="26"/>
  <c r="AB735" i="26" s="1"/>
  <c r="AC735" i="26" s="1"/>
  <c r="AD735" i="26" s="1"/>
  <c r="AF735" i="26" s="1"/>
  <c r="AA729" i="26"/>
  <c r="AB729" i="26" s="1"/>
  <c r="AC729" i="26" s="1"/>
  <c r="AD729" i="26" s="1"/>
  <c r="AF729" i="26" s="1"/>
  <c r="AA714" i="26"/>
  <c r="AB714" i="26" s="1"/>
  <c r="AC714" i="26" s="1"/>
  <c r="AD714" i="26" s="1"/>
  <c r="AF714" i="26" s="1"/>
  <c r="AA708" i="26"/>
  <c r="AB708" i="26" s="1"/>
  <c r="AC708" i="26" s="1"/>
  <c r="AD708" i="26" s="1"/>
  <c r="AF708" i="26" s="1"/>
  <c r="AA730" i="26"/>
  <c r="AB730" i="26" s="1"/>
  <c r="AC730" i="26" s="1"/>
  <c r="AD730" i="26" s="1"/>
  <c r="AF730" i="26" s="1"/>
  <c r="AA717" i="26"/>
  <c r="AB717" i="26" s="1"/>
  <c r="AC717" i="26" s="1"/>
  <c r="AD717" i="26" s="1"/>
  <c r="AF717" i="26" s="1"/>
  <c r="AA738" i="26"/>
  <c r="AB738" i="26" s="1"/>
  <c r="AC738" i="26" s="1"/>
  <c r="AD738" i="26" s="1"/>
  <c r="AF738" i="26" s="1"/>
  <c r="AA732" i="26"/>
  <c r="AB732" i="26" s="1"/>
  <c r="AC732" i="26" s="1"/>
  <c r="AD732" i="26" s="1"/>
  <c r="AF732" i="26" s="1"/>
  <c r="AA448" i="26"/>
  <c r="AB448" i="26" s="1"/>
  <c r="AC448" i="26" s="1"/>
  <c r="AD448" i="26" s="1"/>
  <c r="AF448" i="26" s="1"/>
  <c r="AA354" i="26"/>
  <c r="AB354" i="26" s="1"/>
  <c r="AC354" i="26" s="1"/>
  <c r="AD354" i="26" s="1"/>
  <c r="AF354" i="26" s="1"/>
  <c r="AA655" i="26"/>
  <c r="AB655" i="26" s="1"/>
  <c r="AC655" i="26" s="1"/>
  <c r="AD655" i="26" s="1"/>
  <c r="AF655" i="26" s="1"/>
  <c r="AA661" i="26"/>
  <c r="AB661" i="26" s="1"/>
  <c r="AC661" i="26" s="1"/>
  <c r="AD661" i="26" s="1"/>
  <c r="AF661" i="26" s="1"/>
  <c r="AA313" i="26"/>
  <c r="AB313" i="26" s="1"/>
  <c r="AC313" i="26" s="1"/>
  <c r="AD313" i="26" s="1"/>
  <c r="AF313" i="26" s="1"/>
  <c r="AA554" i="26"/>
  <c r="AB554" i="26" s="1"/>
  <c r="AC554" i="26" s="1"/>
  <c r="AD554" i="26" s="1"/>
  <c r="AF554" i="26" s="1"/>
  <c r="AA316" i="26"/>
  <c r="AB316" i="26" s="1"/>
  <c r="AC316" i="26" s="1"/>
  <c r="AD316" i="26" s="1"/>
  <c r="AF316" i="26" s="1"/>
  <c r="AA545" i="26"/>
  <c r="AB545" i="26" s="1"/>
  <c r="AC545" i="26" s="1"/>
  <c r="AD545" i="26" s="1"/>
  <c r="AF545" i="26" s="1"/>
  <c r="AA267" i="26"/>
  <c r="AB267" i="26" s="1"/>
  <c r="AC267" i="26" s="1"/>
  <c r="AD267" i="26" s="1"/>
  <c r="AF267" i="26" s="1"/>
  <c r="AA246" i="26"/>
  <c r="AB246" i="26" s="1"/>
  <c r="AC246" i="26" s="1"/>
  <c r="AD246" i="26" s="1"/>
  <c r="AF246" i="26" s="1"/>
  <c r="AA291" i="26"/>
  <c r="AB291" i="26" s="1"/>
  <c r="AC291" i="26" s="1"/>
  <c r="AD291" i="26" s="1"/>
  <c r="AF291" i="26" s="1"/>
  <c r="AA223" i="26"/>
  <c r="AB223" i="26" s="1"/>
  <c r="AC223" i="26" s="1"/>
  <c r="AD223" i="26" s="1"/>
  <c r="AF223" i="26" s="1"/>
  <c r="AA215" i="26"/>
  <c r="AB215" i="26" s="1"/>
  <c r="AC215" i="26" s="1"/>
  <c r="AD215" i="26" s="1"/>
  <c r="AF215" i="26" s="1"/>
  <c r="AA207" i="26"/>
  <c r="AB207" i="26" s="1"/>
  <c r="AC207" i="26" s="1"/>
  <c r="AD207" i="26" s="1"/>
  <c r="AF207" i="26" s="1"/>
  <c r="AA251" i="26"/>
  <c r="AB251" i="26" s="1"/>
  <c r="AC251" i="26" s="1"/>
  <c r="AD251" i="26" s="1"/>
  <c r="AF251" i="26" s="1"/>
  <c r="AA262" i="26"/>
  <c r="AB262" i="26" s="1"/>
  <c r="AC262" i="26" s="1"/>
  <c r="AD262" i="26" s="1"/>
  <c r="AF262" i="26" s="1"/>
  <c r="AA276" i="26"/>
  <c r="AB276" i="26" s="1"/>
  <c r="AC276" i="26" s="1"/>
  <c r="AD276" i="26" s="1"/>
  <c r="AF276" i="26" s="1"/>
  <c r="AA238" i="26"/>
  <c r="AB238" i="26" s="1"/>
  <c r="AC238" i="26" s="1"/>
  <c r="AD238" i="26" s="1"/>
  <c r="AF238" i="26" s="1"/>
  <c r="AA254" i="26"/>
  <c r="AB254" i="26" s="1"/>
  <c r="AC254" i="26" s="1"/>
  <c r="AD254" i="26" s="1"/>
  <c r="AF254" i="26" s="1"/>
  <c r="AA263" i="26"/>
  <c r="AB263" i="26" s="1"/>
  <c r="AC263" i="26" s="1"/>
  <c r="AD263" i="26" s="1"/>
  <c r="AF263" i="26" s="1"/>
  <c r="AA243" i="26"/>
  <c r="AB243" i="26" s="1"/>
  <c r="AC243" i="26" s="1"/>
  <c r="AD243" i="26" s="1"/>
  <c r="AF243" i="26" s="1"/>
  <c r="AA240" i="26"/>
  <c r="AB240" i="26" s="1"/>
  <c r="AC240" i="26" s="1"/>
  <c r="AD240" i="26" s="1"/>
  <c r="AF240" i="26" s="1"/>
  <c r="AF261" i="26"/>
  <c r="AA260" i="26"/>
  <c r="AB260" i="26" s="1"/>
  <c r="AC260" i="26" s="1"/>
  <c r="AD260" i="26" s="1"/>
  <c r="AF260" i="26" s="1"/>
  <c r="AA273" i="26"/>
  <c r="AB273" i="26" s="1"/>
  <c r="AC273" i="26" s="1"/>
  <c r="AD273" i="26" s="1"/>
  <c r="AF273" i="26" s="1"/>
  <c r="AA285" i="26"/>
  <c r="AB285" i="26" s="1"/>
  <c r="AC285" i="26" s="1"/>
  <c r="AD285" i="26" s="1"/>
  <c r="AF285" i="26" s="1"/>
  <c r="AF274" i="26"/>
  <c r="AA294" i="26"/>
  <c r="AB294" i="26" s="1"/>
  <c r="AC294" i="26" s="1"/>
  <c r="AD294" i="26" s="1"/>
  <c r="AF294" i="26" s="1"/>
  <c r="AA214" i="26"/>
  <c r="AB214" i="26" s="1"/>
  <c r="AC214" i="26" s="1"/>
  <c r="AD214" i="26" s="1"/>
  <c r="AF214" i="26" s="1"/>
  <c r="AA275" i="26"/>
  <c r="AB275" i="26" s="1"/>
  <c r="AC275" i="26" s="1"/>
  <c r="AD275" i="26" s="1"/>
  <c r="AF275" i="26" s="1"/>
  <c r="AA268" i="26"/>
  <c r="AB268" i="26" s="1"/>
  <c r="AC268" i="26" s="1"/>
  <c r="AD268" i="26" s="1"/>
  <c r="AF268" i="26" s="1"/>
  <c r="AA250" i="26"/>
  <c r="AB250" i="26" s="1"/>
  <c r="AC250" i="26" s="1"/>
  <c r="AD250" i="26" s="1"/>
  <c r="AF250" i="26" s="1"/>
  <c r="AA237" i="26"/>
  <c r="AB237" i="26" s="1"/>
  <c r="AC237" i="26" s="1"/>
  <c r="AD237" i="26" s="1"/>
  <c r="AF237" i="26" s="1"/>
  <c r="AA252" i="26"/>
  <c r="AB252" i="26" s="1"/>
  <c r="AC252" i="26" s="1"/>
  <c r="AD252" i="26" s="1"/>
  <c r="AF252" i="26" s="1"/>
  <c r="AA272" i="26"/>
  <c r="AB272" i="26" s="1"/>
  <c r="AC272" i="26" s="1"/>
  <c r="AD272" i="26" s="1"/>
  <c r="AF272" i="26" s="1"/>
  <c r="AA284" i="26"/>
  <c r="AB284" i="26" s="1"/>
  <c r="AC284" i="26" s="1"/>
  <c r="AD284" i="26" s="1"/>
  <c r="AF284" i="26" s="1"/>
  <c r="AA281" i="26"/>
  <c r="AB281" i="26" s="1"/>
  <c r="AC281" i="26" s="1"/>
  <c r="AD281" i="26" s="1"/>
  <c r="AF281" i="26" s="1"/>
  <c r="AA290" i="26"/>
  <c r="AB290" i="26" s="1"/>
  <c r="AC290" i="26" s="1"/>
  <c r="AD290" i="26" s="1"/>
  <c r="AF290" i="26" s="1"/>
  <c r="AA292" i="26"/>
  <c r="AB292" i="26" s="1"/>
  <c r="AC292" i="26" s="1"/>
  <c r="AD292" i="26" s="1"/>
  <c r="AF292" i="26" s="1"/>
  <c r="AA244" i="26"/>
  <c r="AB244" i="26" s="1"/>
  <c r="AC244" i="26" s="1"/>
  <c r="AD244" i="26" s="1"/>
  <c r="AF244" i="26" s="1"/>
  <c r="AA196" i="26"/>
  <c r="AB196" i="26" s="1"/>
  <c r="AC196" i="26" s="1"/>
  <c r="AD196" i="26" s="1"/>
  <c r="AF196" i="26" s="1"/>
  <c r="AA184" i="26"/>
  <c r="AB184" i="26" s="1"/>
  <c r="AC184" i="26" s="1"/>
  <c r="AD184" i="26" s="1"/>
  <c r="AF184" i="26" s="1"/>
  <c r="AA247" i="26"/>
  <c r="AB247" i="26" s="1"/>
  <c r="AC247" i="26" s="1"/>
  <c r="AD247" i="26" s="1"/>
  <c r="AF247" i="26" s="1"/>
  <c r="AA258" i="26"/>
  <c r="AB258" i="26" s="1"/>
  <c r="AC258" i="26" s="1"/>
  <c r="AD258" i="26" s="1"/>
  <c r="AF258" i="26" s="1"/>
  <c r="AA265" i="26"/>
  <c r="AB265" i="26" s="1"/>
  <c r="AC265" i="26" s="1"/>
  <c r="AD265" i="26" s="1"/>
  <c r="AF265" i="26" s="1"/>
  <c r="AA270" i="26"/>
  <c r="AB270" i="26" s="1"/>
  <c r="AC270" i="26" s="1"/>
  <c r="AD270" i="26" s="1"/>
  <c r="AF270" i="26" s="1"/>
  <c r="AA278" i="26"/>
  <c r="AB278" i="26" s="1"/>
  <c r="AC278" i="26" s="1"/>
  <c r="AD278" i="26" s="1"/>
  <c r="AF278" i="26" s="1"/>
  <c r="AA264" i="26"/>
  <c r="AB264" i="26" s="1"/>
  <c r="AC264" i="26" s="1"/>
  <c r="AD264" i="26" s="1"/>
  <c r="AF264" i="26" s="1"/>
  <c r="AA282" i="26"/>
  <c r="AB282" i="26" s="1"/>
  <c r="AC282" i="26" s="1"/>
  <c r="AD282" i="26" s="1"/>
  <c r="AF282" i="26" s="1"/>
  <c r="AA286" i="26"/>
  <c r="AB286" i="26" s="1"/>
  <c r="AC286" i="26" s="1"/>
  <c r="AD286" i="26" s="1"/>
  <c r="AF286" i="26" s="1"/>
  <c r="AA287" i="26"/>
  <c r="AB287" i="26" s="1"/>
  <c r="AC287" i="26" s="1"/>
  <c r="AD287" i="26" s="1"/>
  <c r="AF287" i="26" s="1"/>
  <c r="Y944" i="26"/>
  <c r="AA255" i="26"/>
  <c r="AB255" i="26" s="1"/>
  <c r="AC255" i="26" s="1"/>
  <c r="AD255" i="26" s="1"/>
  <c r="AF255" i="26" s="1"/>
  <c r="AA259" i="26"/>
  <c r="AB259" i="26" s="1"/>
  <c r="AC259" i="26" s="1"/>
  <c r="AD259" i="26" s="1"/>
  <c r="AF259" i="26" s="1"/>
  <c r="AA280" i="26"/>
  <c r="AB280" i="26" s="1"/>
  <c r="AC280" i="26" s="1"/>
  <c r="AD280" i="26" s="1"/>
  <c r="AF280" i="26" s="1"/>
  <c r="AA295" i="26"/>
  <c r="AB295" i="26" s="1"/>
  <c r="AC295" i="26" s="1"/>
  <c r="AD295" i="26" s="1"/>
  <c r="AF295" i="26" s="1"/>
  <c r="AF253" i="26"/>
  <c r="AA256" i="26"/>
  <c r="AB256" i="26" s="1"/>
  <c r="AC256" i="26" s="1"/>
  <c r="AD256" i="26" s="1"/>
  <c r="AF256" i="26" s="1"/>
  <c r="AA283" i="26"/>
  <c r="AB283" i="26" s="1"/>
  <c r="AC283" i="26" s="1"/>
  <c r="AD283" i="26" s="1"/>
  <c r="AF283" i="26" s="1"/>
  <c r="AA269" i="26"/>
  <c r="AB269" i="26" s="1"/>
  <c r="AC269" i="26" s="1"/>
  <c r="AD269" i="26" s="1"/>
  <c r="AF269" i="26" s="1"/>
  <c r="AA277" i="26"/>
  <c r="AB277" i="26" s="1"/>
  <c r="AC277" i="26" s="1"/>
  <c r="AD277" i="26" s="1"/>
  <c r="AF277" i="26" s="1"/>
  <c r="AF293" i="26"/>
  <c r="AA289" i="26"/>
  <c r="AB289" i="26" s="1"/>
  <c r="AC289" i="26" s="1"/>
  <c r="AD289" i="26" s="1"/>
  <c r="AF289" i="26" s="1"/>
  <c r="AA271" i="26"/>
  <c r="AB271" i="26" s="1"/>
  <c r="AC271" i="26" s="1"/>
  <c r="AD271" i="26" s="1"/>
  <c r="AF271" i="26" s="1"/>
  <c r="AA257" i="26"/>
  <c r="AB257" i="26" s="1"/>
  <c r="AC257" i="26" s="1"/>
  <c r="AD257" i="26" s="1"/>
  <c r="AF257" i="26" s="1"/>
  <c r="AA279" i="26"/>
  <c r="AB279" i="26" s="1"/>
  <c r="AC279" i="26" s="1"/>
  <c r="AD279" i="26" s="1"/>
  <c r="AF279" i="26" s="1"/>
  <c r="AA266" i="26"/>
  <c r="AB266" i="26" s="1"/>
  <c r="AC266" i="26" s="1"/>
  <c r="AD266" i="26" s="1"/>
  <c r="AF266" i="26" s="1"/>
  <c r="AF245" i="26"/>
  <c r="AA248" i="26"/>
  <c r="AB248" i="26" s="1"/>
  <c r="AC248" i="26" s="1"/>
  <c r="AD248" i="26" s="1"/>
  <c r="AF248" i="26" s="1"/>
  <c r="AF288" i="26"/>
  <c r="AA249" i="26"/>
  <c r="AB249" i="26" s="1"/>
  <c r="AC249" i="26" s="1"/>
  <c r="AD249" i="26" s="1"/>
  <c r="AF249" i="26" s="1"/>
  <c r="AA239" i="26"/>
  <c r="AB239" i="26" s="1"/>
  <c r="AC239" i="26" s="1"/>
  <c r="AD239" i="26" s="1"/>
  <c r="AF239" i="26" s="1"/>
  <c r="AA233" i="26"/>
  <c r="AB233" i="26" s="1"/>
  <c r="AC233" i="26" s="1"/>
  <c r="AD233" i="26" s="1"/>
  <c r="AF233" i="26" s="1"/>
  <c r="AA229" i="26"/>
  <c r="AB229" i="26" s="1"/>
  <c r="AC229" i="26" s="1"/>
  <c r="AD229" i="26" s="1"/>
  <c r="AF229" i="26" s="1"/>
  <c r="AA178" i="26"/>
  <c r="AB178" i="26" s="1"/>
  <c r="AC178" i="26" s="1"/>
  <c r="AD178" i="26" s="1"/>
  <c r="AF178" i="26" s="1"/>
  <c r="AA187" i="26"/>
  <c r="AB187" i="26" s="1"/>
  <c r="AC187" i="26" s="1"/>
  <c r="AD187" i="26" s="1"/>
  <c r="AF187" i="26" s="1"/>
  <c r="AA179" i="26"/>
  <c r="AB179" i="26" s="1"/>
  <c r="AC179" i="26" s="1"/>
  <c r="AD179" i="26" s="1"/>
  <c r="AF179" i="26" s="1"/>
  <c r="AA205" i="26"/>
  <c r="AB205" i="26" s="1"/>
  <c r="AC205" i="26" s="1"/>
  <c r="AD205" i="26" s="1"/>
  <c r="AF205" i="26" s="1"/>
  <c r="AF201" i="26"/>
  <c r="AA180" i="26"/>
  <c r="AB180" i="26" s="1"/>
  <c r="AC180" i="26" s="1"/>
  <c r="AD180" i="26" s="1"/>
  <c r="AF180" i="26" s="1"/>
  <c r="AF232" i="26"/>
  <c r="AA216" i="26"/>
  <c r="AB216" i="26" s="1"/>
  <c r="AC216" i="26" s="1"/>
  <c r="AD216" i="26" s="1"/>
  <c r="AF216" i="26" s="1"/>
  <c r="AA208" i="26"/>
  <c r="AB208" i="26" s="1"/>
  <c r="AC208" i="26" s="1"/>
  <c r="AD208" i="26" s="1"/>
  <c r="AF208" i="26" s="1"/>
  <c r="AF186" i="26"/>
  <c r="AA230" i="26"/>
  <c r="AB230" i="26" s="1"/>
  <c r="AC230" i="26" s="1"/>
  <c r="AD230" i="26" s="1"/>
  <c r="AF230" i="26" s="1"/>
  <c r="AF193" i="26"/>
  <c r="AA188" i="26"/>
  <c r="AB188" i="26" s="1"/>
  <c r="AC188" i="26" s="1"/>
  <c r="AD188" i="26" s="1"/>
  <c r="AF188" i="26" s="1"/>
  <c r="AA200" i="26"/>
  <c r="AB200" i="26" s="1"/>
  <c r="AC200" i="26" s="1"/>
  <c r="AD200" i="26" s="1"/>
  <c r="AF200" i="26" s="1"/>
  <c r="AA204" i="26"/>
  <c r="AB204" i="26" s="1"/>
  <c r="AC204" i="26" s="1"/>
  <c r="AD204" i="26" s="1"/>
  <c r="AF204" i="26" s="1"/>
  <c r="AA210" i="26"/>
  <c r="AB210" i="26" s="1"/>
  <c r="AC210" i="26" s="1"/>
  <c r="AD210" i="26" s="1"/>
  <c r="AF210" i="26" s="1"/>
  <c r="AA190" i="26"/>
  <c r="AB190" i="26" s="1"/>
  <c r="AC190" i="26" s="1"/>
  <c r="AD190" i="26" s="1"/>
  <c r="AF190" i="26" s="1"/>
  <c r="AA199" i="26"/>
  <c r="AB199" i="26" s="1"/>
  <c r="AC199" i="26" s="1"/>
  <c r="AD199" i="26" s="1"/>
  <c r="AF199" i="26" s="1"/>
  <c r="AA182" i="26"/>
  <c r="AB182" i="26" s="1"/>
  <c r="AC182" i="26" s="1"/>
  <c r="AD182" i="26" s="1"/>
  <c r="AF182" i="26" s="1"/>
  <c r="AA189" i="26"/>
  <c r="AB189" i="26" s="1"/>
  <c r="AC189" i="26" s="1"/>
  <c r="AD189" i="26" s="1"/>
  <c r="AF189" i="26" s="1"/>
  <c r="AA219" i="26"/>
  <c r="AB219" i="26" s="1"/>
  <c r="AC219" i="26" s="1"/>
  <c r="AD219" i="26" s="1"/>
  <c r="AF219" i="26" s="1"/>
  <c r="AA218" i="26"/>
  <c r="AB218" i="26" s="1"/>
  <c r="AC218" i="26" s="1"/>
  <c r="AD218" i="26" s="1"/>
  <c r="AF218" i="26" s="1"/>
  <c r="AA195" i="26"/>
  <c r="AB195" i="26" s="1"/>
  <c r="AC195" i="26" s="1"/>
  <c r="AD195" i="26" s="1"/>
  <c r="AF195" i="26" s="1"/>
  <c r="AA212" i="26"/>
  <c r="AB212" i="26" s="1"/>
  <c r="AC212" i="26" s="1"/>
  <c r="AD212" i="26" s="1"/>
  <c r="AF212" i="26" s="1"/>
  <c r="AA203" i="26"/>
  <c r="AB203" i="26" s="1"/>
  <c r="AC203" i="26" s="1"/>
  <c r="AD203" i="26" s="1"/>
  <c r="AF203" i="26" s="1"/>
  <c r="AA191" i="26"/>
  <c r="AB191" i="26" s="1"/>
  <c r="AC191" i="26" s="1"/>
  <c r="AD191" i="26" s="1"/>
  <c r="AF191" i="26" s="1"/>
  <c r="AA206" i="26"/>
  <c r="AB206" i="26" s="1"/>
  <c r="AC206" i="26" s="1"/>
  <c r="AD206" i="26" s="1"/>
  <c r="AF206" i="26" s="1"/>
  <c r="AA194" i="26"/>
  <c r="AB194" i="26" s="1"/>
  <c r="AC194" i="26" s="1"/>
  <c r="AD194" i="26" s="1"/>
  <c r="AF194" i="26" s="1"/>
  <c r="AA192" i="26"/>
  <c r="AB192" i="26" s="1"/>
  <c r="AC192" i="26" s="1"/>
  <c r="AD192" i="26" s="1"/>
  <c r="AF192" i="26" s="1"/>
  <c r="AA181" i="26"/>
  <c r="AB181" i="26" s="1"/>
  <c r="AC181" i="26" s="1"/>
  <c r="AD181" i="26" s="1"/>
  <c r="AF181" i="26" s="1"/>
  <c r="AA222" i="26"/>
  <c r="AB222" i="26" s="1"/>
  <c r="AC222" i="26" s="1"/>
  <c r="AD222" i="26" s="1"/>
  <c r="AF222" i="26" s="1"/>
  <c r="AF213" i="26"/>
  <c r="AA225" i="26"/>
  <c r="AB225" i="26" s="1"/>
  <c r="AC225" i="26" s="1"/>
  <c r="AD225" i="26" s="1"/>
  <c r="AF225" i="26" s="1"/>
  <c r="AA231" i="26"/>
  <c r="AB231" i="26" s="1"/>
  <c r="AC231" i="26" s="1"/>
  <c r="AD231" i="26" s="1"/>
  <c r="AF231" i="26" s="1"/>
  <c r="AA221" i="26"/>
  <c r="AB221" i="26" s="1"/>
  <c r="AC221" i="26" s="1"/>
  <c r="AD221" i="26" s="1"/>
  <c r="AF221" i="26" s="1"/>
  <c r="AA220" i="26"/>
  <c r="AB220" i="26" s="1"/>
  <c r="AC220" i="26" s="1"/>
  <c r="AD220" i="26" s="1"/>
  <c r="AF220" i="26" s="1"/>
  <c r="AA211" i="26"/>
  <c r="AB211" i="26" s="1"/>
  <c r="AC211" i="26" s="1"/>
  <c r="AD211" i="26" s="1"/>
  <c r="AF211" i="26" s="1"/>
  <c r="AA185" i="26"/>
  <c r="AB185" i="26" s="1"/>
  <c r="AC185" i="26" s="1"/>
  <c r="AD185" i="26" s="1"/>
  <c r="AF185" i="26" s="1"/>
  <c r="AA198" i="26"/>
  <c r="AB198" i="26" s="1"/>
  <c r="AC198" i="26" s="1"/>
  <c r="AD198" i="26" s="1"/>
  <c r="AF198" i="26" s="1"/>
  <c r="AA183" i="26"/>
  <c r="AB183" i="26" s="1"/>
  <c r="AC183" i="26" s="1"/>
  <c r="AD183" i="26" s="1"/>
  <c r="AF183" i="26" s="1"/>
  <c r="AA197" i="26"/>
  <c r="AB197" i="26" s="1"/>
  <c r="AC197" i="26" s="1"/>
  <c r="AD197" i="26" s="1"/>
  <c r="AF197" i="26" s="1"/>
  <c r="AA202" i="26"/>
  <c r="AB202" i="26" s="1"/>
  <c r="AC202" i="26" s="1"/>
  <c r="AD202" i="26" s="1"/>
  <c r="AF202" i="26" s="1"/>
  <c r="AA209" i="26"/>
  <c r="AB209" i="26" s="1"/>
  <c r="AC209" i="26" s="1"/>
  <c r="AD209" i="26" s="1"/>
  <c r="AF209" i="26" s="1"/>
  <c r="AA217" i="26"/>
  <c r="AB217" i="26" s="1"/>
  <c r="AC217" i="26" s="1"/>
  <c r="AD217" i="26" s="1"/>
  <c r="AF217" i="26" s="1"/>
  <c r="AF226" i="26"/>
  <c r="AA234" i="26"/>
  <c r="AB234" i="26" s="1"/>
  <c r="AC234" i="26" s="1"/>
  <c r="AD234" i="26" s="1"/>
  <c r="AF234" i="26" s="1"/>
  <c r="AA224" i="26"/>
  <c r="AB224" i="26" s="1"/>
  <c r="AC224" i="26" s="1"/>
  <c r="AD224" i="26" s="1"/>
  <c r="AF224" i="26" s="1"/>
  <c r="AA227" i="26"/>
  <c r="AB227" i="26" s="1"/>
  <c r="AC227" i="26" s="1"/>
  <c r="AD227" i="26" s="1"/>
  <c r="AF227" i="26" s="1"/>
  <c r="AA228" i="26"/>
  <c r="AB228" i="26" s="1"/>
  <c r="AC228" i="26" s="1"/>
  <c r="AD228" i="26" s="1"/>
  <c r="AF228" i="26" s="1"/>
  <c r="AA510" i="26"/>
  <c r="AB510" i="26" s="1"/>
  <c r="AC510" i="26" s="1"/>
  <c r="AD510" i="26" s="1"/>
  <c r="AF510" i="26" s="1"/>
  <c r="AA568" i="26"/>
  <c r="AB568" i="26" s="1"/>
  <c r="AC568" i="26" s="1"/>
  <c r="AD568" i="26" s="1"/>
  <c r="AF568" i="26" s="1"/>
  <c r="AA528" i="26"/>
  <c r="AB528" i="26" s="1"/>
  <c r="AC528" i="26" s="1"/>
  <c r="AD528" i="26" s="1"/>
  <c r="AF528" i="26" s="1"/>
  <c r="AA606" i="26"/>
  <c r="AB606" i="26" s="1"/>
  <c r="AC606" i="26" s="1"/>
  <c r="AD606" i="26" s="1"/>
  <c r="AF606" i="26" s="1"/>
  <c r="AA871" i="26"/>
  <c r="AB871" i="26" s="1"/>
  <c r="AC871" i="26" s="1"/>
  <c r="AD871" i="26" s="1"/>
  <c r="AF871" i="26" s="1"/>
  <c r="AA522" i="26"/>
  <c r="AB522" i="26" s="1"/>
  <c r="AC522" i="26" s="1"/>
  <c r="AD522" i="26" s="1"/>
  <c r="AF522" i="26" s="1"/>
  <c r="AA314" i="26"/>
  <c r="AB314" i="26" s="1"/>
  <c r="AC314" i="26" s="1"/>
  <c r="AD314" i="26" s="1"/>
  <c r="AF314" i="26" s="1"/>
  <c r="AA569" i="26"/>
  <c r="AB569" i="26" s="1"/>
  <c r="AC569" i="26" s="1"/>
  <c r="AD569" i="26" s="1"/>
  <c r="AF569" i="26" s="1"/>
  <c r="AA621" i="26"/>
  <c r="AB621" i="26" s="1"/>
  <c r="AC621" i="26" s="1"/>
  <c r="AD621" i="26" s="1"/>
  <c r="AF621" i="26" s="1"/>
  <c r="AA665" i="26"/>
  <c r="AB665" i="26" s="1"/>
  <c r="AC665" i="26" s="1"/>
  <c r="AD665" i="26" s="1"/>
  <c r="AF665" i="26" s="1"/>
  <c r="AA333" i="26"/>
  <c r="AB333" i="26" s="1"/>
  <c r="AC333" i="26" s="1"/>
  <c r="AD333" i="26" s="1"/>
  <c r="AF333" i="26" s="1"/>
  <c r="AA508" i="26"/>
  <c r="AB508" i="26" s="1"/>
  <c r="AC508" i="26" s="1"/>
  <c r="AD508" i="26" s="1"/>
  <c r="AF508" i="26" s="1"/>
  <c r="AA581" i="26"/>
  <c r="AB581" i="26" s="1"/>
  <c r="AC581" i="26" s="1"/>
  <c r="AD581" i="26" s="1"/>
  <c r="AF581" i="26" s="1"/>
  <c r="AA615" i="26"/>
  <c r="AB615" i="26" s="1"/>
  <c r="AC615" i="26" s="1"/>
  <c r="AD615" i="26" s="1"/>
  <c r="AF615" i="26" s="1"/>
  <c r="AA503" i="26"/>
  <c r="AB503" i="26" s="1"/>
  <c r="AC503" i="26" s="1"/>
  <c r="AD503" i="26" s="1"/>
  <c r="AF503" i="26" s="1"/>
  <c r="AA344" i="26"/>
  <c r="AB344" i="26" s="1"/>
  <c r="AC344" i="26" s="1"/>
  <c r="AD344" i="26" s="1"/>
  <c r="AF344" i="26" s="1"/>
  <c r="AA499" i="26"/>
  <c r="AB499" i="26" s="1"/>
  <c r="AC499" i="26" s="1"/>
  <c r="AD499" i="26" s="1"/>
  <c r="AF499" i="26" s="1"/>
  <c r="AA565" i="26"/>
  <c r="AB565" i="26" s="1"/>
  <c r="AC565" i="26" s="1"/>
  <c r="AD565" i="26" s="1"/>
  <c r="AF565" i="26" s="1"/>
  <c r="AA323" i="26"/>
  <c r="AB323" i="26" s="1"/>
  <c r="AC323" i="26" s="1"/>
  <c r="AD323" i="26" s="1"/>
  <c r="AF323" i="26" s="1"/>
  <c r="AA514" i="26"/>
  <c r="AB514" i="26" s="1"/>
  <c r="AC514" i="26" s="1"/>
  <c r="AD514" i="26" s="1"/>
  <c r="AF514" i="26" s="1"/>
  <c r="AA668" i="26"/>
  <c r="AB668" i="26" s="1"/>
  <c r="AC668" i="26" s="1"/>
  <c r="AD668" i="26" s="1"/>
  <c r="AF668" i="26" s="1"/>
  <c r="AA326" i="26"/>
  <c r="AB326" i="26" s="1"/>
  <c r="AC326" i="26" s="1"/>
  <c r="AD326" i="26" s="1"/>
  <c r="AF326" i="26" s="1"/>
  <c r="AA495" i="26"/>
  <c r="AB495" i="26" s="1"/>
  <c r="AC495" i="26" s="1"/>
  <c r="AD495" i="26" s="1"/>
  <c r="AF495" i="26" s="1"/>
  <c r="AA302" i="26"/>
  <c r="AB302" i="26" s="1"/>
  <c r="AC302" i="26" s="1"/>
  <c r="AD302" i="26" s="1"/>
  <c r="AF302" i="26" s="1"/>
  <c r="AA675" i="26"/>
  <c r="AB675" i="26" s="1"/>
  <c r="AC675" i="26" s="1"/>
  <c r="AD675" i="26" s="1"/>
  <c r="AF675" i="26" s="1"/>
  <c r="AA917" i="26"/>
  <c r="AB917" i="26" s="1"/>
  <c r="AC917" i="26" s="1"/>
  <c r="AD917" i="26" s="1"/>
  <c r="AF917" i="26" s="1"/>
  <c r="AA903" i="26"/>
  <c r="AB903" i="26" s="1"/>
  <c r="AC903" i="26" s="1"/>
  <c r="AD903" i="26" s="1"/>
  <c r="AF903" i="26" s="1"/>
  <c r="AA663" i="26"/>
  <c r="AB663" i="26" s="1"/>
  <c r="AC663" i="26" s="1"/>
  <c r="AD663" i="26" s="1"/>
  <c r="AF663" i="26" s="1"/>
  <c r="AA530" i="26"/>
  <c r="AB530" i="26" s="1"/>
  <c r="AC530" i="26" s="1"/>
  <c r="AD530" i="26" s="1"/>
  <c r="AF530" i="26" s="1"/>
  <c r="AA579" i="26"/>
  <c r="AB579" i="26" s="1"/>
  <c r="AC579" i="26" s="1"/>
  <c r="AD579" i="26" s="1"/>
  <c r="AF579" i="26" s="1"/>
  <c r="AA307" i="26"/>
  <c r="AB307" i="26" s="1"/>
  <c r="AC307" i="26" s="1"/>
  <c r="AD307" i="26" s="1"/>
  <c r="AF307" i="26" s="1"/>
  <c r="AA322" i="26"/>
  <c r="AB322" i="26" s="1"/>
  <c r="AC322" i="26" s="1"/>
  <c r="AD322" i="26" s="1"/>
  <c r="AF322" i="26" s="1"/>
  <c r="AA500" i="26"/>
  <c r="AB500" i="26" s="1"/>
  <c r="AC500" i="26" s="1"/>
  <c r="AD500" i="26" s="1"/>
  <c r="AF500" i="26" s="1"/>
  <c r="AA590" i="26"/>
  <c r="AB590" i="26" s="1"/>
  <c r="AC590" i="26" s="1"/>
  <c r="AD590" i="26" s="1"/>
  <c r="AF590" i="26" s="1"/>
  <c r="AA686" i="26"/>
  <c r="AB686" i="26" s="1"/>
  <c r="AC686" i="26" s="1"/>
  <c r="AD686" i="26" s="1"/>
  <c r="AF686" i="26" s="1"/>
  <c r="AA320" i="26"/>
  <c r="AB320" i="26" s="1"/>
  <c r="AC320" i="26" s="1"/>
  <c r="AD320" i="26" s="1"/>
  <c r="AF320" i="26" s="1"/>
  <c r="AA543" i="26"/>
  <c r="AB543" i="26" s="1"/>
  <c r="AC543" i="26" s="1"/>
  <c r="AD543" i="26" s="1"/>
  <c r="AF543" i="26" s="1"/>
  <c r="AA703" i="26"/>
  <c r="AB703" i="26" s="1"/>
  <c r="AC703" i="26" s="1"/>
  <c r="AD703" i="26" s="1"/>
  <c r="AF703" i="26" s="1"/>
  <c r="AA502" i="26"/>
  <c r="AB502" i="26" s="1"/>
  <c r="AC502" i="26" s="1"/>
  <c r="AD502" i="26" s="1"/>
  <c r="AF502" i="26" s="1"/>
  <c r="AA328" i="26"/>
  <c r="AB328" i="26" s="1"/>
  <c r="AC328" i="26" s="1"/>
  <c r="AD328" i="26" s="1"/>
  <c r="AF328" i="26" s="1"/>
  <c r="AA592" i="26"/>
  <c r="AB592" i="26" s="1"/>
  <c r="AC592" i="26" s="1"/>
  <c r="AD592" i="26" s="1"/>
  <c r="AF592" i="26" s="1"/>
  <c r="AA601" i="26"/>
  <c r="AB601" i="26" s="1"/>
  <c r="AC601" i="26" s="1"/>
  <c r="AD601" i="26" s="1"/>
  <c r="AF601" i="26" s="1"/>
  <c r="AA318" i="26"/>
  <c r="AB318" i="26" s="1"/>
  <c r="AC318" i="26" s="1"/>
  <c r="AD318" i="26" s="1"/>
  <c r="AF318" i="26" s="1"/>
  <c r="AA676" i="26"/>
  <c r="AB676" i="26" s="1"/>
  <c r="AC676" i="26" s="1"/>
  <c r="AD676" i="26" s="1"/>
  <c r="AF676" i="26" s="1"/>
  <c r="AA826" i="26"/>
  <c r="AB826" i="26" s="1"/>
  <c r="AC826" i="26" s="1"/>
  <c r="AD826" i="26" s="1"/>
  <c r="AF826" i="26" s="1"/>
  <c r="AA560" i="26"/>
  <c r="AB560" i="26" s="1"/>
  <c r="AC560" i="26" s="1"/>
  <c r="AD560" i="26" s="1"/>
  <c r="AF560" i="26" s="1"/>
  <c r="AA690" i="26"/>
  <c r="AB690" i="26" s="1"/>
  <c r="AC690" i="26" s="1"/>
  <c r="AD690" i="26" s="1"/>
  <c r="AF690" i="26" s="1"/>
  <c r="AA564" i="26"/>
  <c r="AB564" i="26" s="1"/>
  <c r="AC564" i="26" s="1"/>
  <c r="AD564" i="26" s="1"/>
  <c r="AF564" i="26" s="1"/>
  <c r="AA873" i="26"/>
  <c r="AB873" i="26" s="1"/>
  <c r="AC873" i="26" s="1"/>
  <c r="AD873" i="26" s="1"/>
  <c r="AF873" i="26" s="1"/>
  <c r="AA918" i="26"/>
  <c r="AB918" i="26" s="1"/>
  <c r="AC918" i="26" s="1"/>
  <c r="AD918" i="26" s="1"/>
  <c r="AF918" i="26" s="1"/>
  <c r="AA584" i="26"/>
  <c r="AB584" i="26" s="1"/>
  <c r="AC584" i="26" s="1"/>
  <c r="AD584" i="26" s="1"/>
  <c r="AF584" i="26" s="1"/>
  <c r="AA336" i="26"/>
  <c r="AB336" i="26" s="1"/>
  <c r="AC336" i="26" s="1"/>
  <c r="AD336" i="26" s="1"/>
  <c r="AF336" i="26" s="1"/>
  <c r="AA618" i="26"/>
  <c r="AB618" i="26" s="1"/>
  <c r="AC618" i="26" s="1"/>
  <c r="AD618" i="26" s="1"/>
  <c r="AF618" i="26" s="1"/>
  <c r="AA532" i="26"/>
  <c r="AB532" i="26" s="1"/>
  <c r="AC532" i="26" s="1"/>
  <c r="AD532" i="26" s="1"/>
  <c r="AF532" i="26" s="1"/>
  <c r="AA338" i="26"/>
  <c r="AB338" i="26" s="1"/>
  <c r="AC338" i="26" s="1"/>
  <c r="AD338" i="26" s="1"/>
  <c r="AF338" i="26" s="1"/>
  <c r="AA657" i="26"/>
  <c r="AB657" i="26" s="1"/>
  <c r="AC657" i="26" s="1"/>
  <c r="AD657" i="26" s="1"/>
  <c r="AF657" i="26" s="1"/>
  <c r="AA622" i="26"/>
  <c r="AB622" i="26" s="1"/>
  <c r="AC622" i="26" s="1"/>
  <c r="AD622" i="26" s="1"/>
  <c r="AF622" i="26" s="1"/>
  <c r="AA700" i="26"/>
  <c r="AB700" i="26" s="1"/>
  <c r="AC700" i="26" s="1"/>
  <c r="AD700" i="26" s="1"/>
  <c r="AF700" i="26" s="1"/>
  <c r="AA521" i="26"/>
  <c r="AB521" i="26" s="1"/>
  <c r="AC521" i="26" s="1"/>
  <c r="AD521" i="26" s="1"/>
  <c r="AF521" i="26" s="1"/>
  <c r="AA341" i="26"/>
  <c r="AB341" i="26" s="1"/>
  <c r="AC341" i="26" s="1"/>
  <c r="AD341" i="26" s="1"/>
  <c r="AF341" i="26" s="1"/>
  <c r="AA588" i="26"/>
  <c r="AB588" i="26" s="1"/>
  <c r="AC588" i="26" s="1"/>
  <c r="AD588" i="26" s="1"/>
  <c r="AF588" i="26" s="1"/>
  <c r="AA648" i="26"/>
  <c r="AB648" i="26" s="1"/>
  <c r="AC648" i="26" s="1"/>
  <c r="AD648" i="26" s="1"/>
  <c r="AF648" i="26" s="1"/>
  <c r="AA519" i="26"/>
  <c r="AB519" i="26" s="1"/>
  <c r="AC519" i="26" s="1"/>
  <c r="AD519" i="26" s="1"/>
  <c r="AF519" i="26" s="1"/>
  <c r="AA583" i="26"/>
  <c r="AB583" i="26" s="1"/>
  <c r="AC583" i="26" s="1"/>
  <c r="AD583" i="26" s="1"/>
  <c r="AF583" i="26" s="1"/>
  <c r="AA673" i="26"/>
  <c r="AB673" i="26" s="1"/>
  <c r="AC673" i="26" s="1"/>
  <c r="AD673" i="26" s="1"/>
  <c r="AF673" i="26" s="1"/>
  <c r="AA337" i="26"/>
  <c r="AB337" i="26" s="1"/>
  <c r="AC337" i="26" s="1"/>
  <c r="AD337" i="26" s="1"/>
  <c r="AF337" i="26" s="1"/>
  <c r="AA905" i="26"/>
  <c r="AB905" i="26" s="1"/>
  <c r="AC905" i="26" s="1"/>
  <c r="AD905" i="26" s="1"/>
  <c r="AF905" i="26" s="1"/>
  <c r="AA299" i="26"/>
  <c r="AB299" i="26" s="1"/>
  <c r="AC299" i="26" s="1"/>
  <c r="AD299" i="26" s="1"/>
  <c r="AF299" i="26" s="1"/>
  <c r="AA576" i="26"/>
  <c r="AB576" i="26" s="1"/>
  <c r="AC576" i="26" s="1"/>
  <c r="AD576" i="26" s="1"/>
  <c r="AF576" i="26" s="1"/>
  <c r="AA662" i="26"/>
  <c r="AB662" i="26" s="1"/>
  <c r="AC662" i="26" s="1"/>
  <c r="AD662" i="26" s="1"/>
  <c r="AF662" i="26" s="1"/>
  <c r="AA598" i="26"/>
  <c r="AB598" i="26" s="1"/>
  <c r="AC598" i="26" s="1"/>
  <c r="AD598" i="26" s="1"/>
  <c r="AF598" i="26" s="1"/>
  <c r="AA559" i="26"/>
  <c r="AB559" i="26" s="1"/>
  <c r="AC559" i="26" s="1"/>
  <c r="AD559" i="26" s="1"/>
  <c r="AF559" i="26" s="1"/>
  <c r="AA524" i="26"/>
  <c r="AB524" i="26" s="1"/>
  <c r="AC524" i="26" s="1"/>
  <c r="AD524" i="26" s="1"/>
  <c r="AF524" i="26" s="1"/>
  <c r="AA680" i="26"/>
  <c r="AB680" i="26" s="1"/>
  <c r="AC680" i="26" s="1"/>
  <c r="AD680" i="26" s="1"/>
  <c r="AF680" i="26" s="1"/>
  <c r="AA339" i="26"/>
  <c r="AB339" i="26" s="1"/>
  <c r="AC339" i="26" s="1"/>
  <c r="AD339" i="26" s="1"/>
  <c r="AF339" i="26" s="1"/>
  <c r="AA516" i="26"/>
  <c r="AB516" i="26" s="1"/>
  <c r="AC516" i="26" s="1"/>
  <c r="AD516" i="26" s="1"/>
  <c r="AF516" i="26" s="1"/>
  <c r="AA578" i="26"/>
  <c r="AB578" i="26" s="1"/>
  <c r="AC578" i="26" s="1"/>
  <c r="AD578" i="26" s="1"/>
  <c r="AF578" i="26" s="1"/>
  <c r="AA577" i="26"/>
  <c r="AB577" i="26" s="1"/>
  <c r="AC577" i="26" s="1"/>
  <c r="AD577" i="26" s="1"/>
  <c r="AF577" i="26" s="1"/>
  <c r="AA586" i="26"/>
  <c r="AB586" i="26" s="1"/>
  <c r="AC586" i="26" s="1"/>
  <c r="AD586" i="26" s="1"/>
  <c r="AF586" i="26" s="1"/>
  <c r="AA512" i="26"/>
  <c r="AB512" i="26" s="1"/>
  <c r="AC512" i="26" s="1"/>
  <c r="AD512" i="26" s="1"/>
  <c r="AF512" i="26" s="1"/>
  <c r="AA831" i="26"/>
  <c r="AB831" i="26" s="1"/>
  <c r="AC831" i="26" s="1"/>
  <c r="AD831" i="26" s="1"/>
  <c r="AF831" i="26" s="1"/>
  <c r="AA542" i="26"/>
  <c r="AB542" i="26" s="1"/>
  <c r="AC542" i="26" s="1"/>
  <c r="AD542" i="26" s="1"/>
  <c r="AF542" i="26" s="1"/>
  <c r="AA509" i="26"/>
  <c r="AB509" i="26" s="1"/>
  <c r="AC509" i="26" s="1"/>
  <c r="AD509" i="26" s="1"/>
  <c r="AF509" i="26" s="1"/>
  <c r="AA824" i="26"/>
  <c r="AB824" i="26" s="1"/>
  <c r="AC824" i="26" s="1"/>
  <c r="AD824" i="26" s="1"/>
  <c r="AF824" i="26" s="1"/>
  <c r="AA550" i="26"/>
  <c r="AB550" i="26" s="1"/>
  <c r="AC550" i="26" s="1"/>
  <c r="AD550" i="26" s="1"/>
  <c r="AF550" i="26" s="1"/>
  <c r="AA647" i="26"/>
  <c r="AB647" i="26" s="1"/>
  <c r="AC647" i="26" s="1"/>
  <c r="AD647" i="26" s="1"/>
  <c r="AF647" i="26" s="1"/>
  <c r="AA518" i="26"/>
  <c r="AB518" i="26" s="1"/>
  <c r="AC518" i="26" s="1"/>
  <c r="AD518" i="26" s="1"/>
  <c r="AF518" i="26" s="1"/>
  <c r="AA346" i="26"/>
  <c r="AB346" i="26" s="1"/>
  <c r="AC346" i="26" s="1"/>
  <c r="AD346" i="26" s="1"/>
  <c r="AF346" i="26" s="1"/>
  <c r="AA306" i="26"/>
  <c r="AB306" i="26" s="1"/>
  <c r="AC306" i="26" s="1"/>
  <c r="AD306" i="26" s="1"/>
  <c r="AF306" i="26" s="1"/>
  <c r="AA587" i="26"/>
  <c r="AB587" i="26" s="1"/>
  <c r="AC587" i="26" s="1"/>
  <c r="AD587" i="26" s="1"/>
  <c r="AF587" i="26" s="1"/>
  <c r="AA627" i="26"/>
  <c r="AB627" i="26" s="1"/>
  <c r="AC627" i="26" s="1"/>
  <c r="AD627" i="26" s="1"/>
  <c r="AF627" i="26" s="1"/>
  <c r="AA321" i="26"/>
  <c r="AB321" i="26" s="1"/>
  <c r="AC321" i="26" s="1"/>
  <c r="AD321" i="26" s="1"/>
  <c r="AF321" i="26" s="1"/>
  <c r="AA608" i="26"/>
  <c r="AB608" i="26" s="1"/>
  <c r="AC608" i="26" s="1"/>
  <c r="AD608" i="26" s="1"/>
  <c r="AF608" i="26" s="1"/>
  <c r="AA537" i="26"/>
  <c r="AB537" i="26" s="1"/>
  <c r="AC537" i="26" s="1"/>
  <c r="AD537" i="26" s="1"/>
  <c r="AF537" i="26" s="1"/>
  <c r="AA666" i="26"/>
  <c r="AB666" i="26" s="1"/>
  <c r="AC666" i="26" s="1"/>
  <c r="AD666" i="26" s="1"/>
  <c r="AF666" i="26" s="1"/>
  <c r="AA646" i="26"/>
  <c r="AB646" i="26" s="1"/>
  <c r="AC646" i="26" s="1"/>
  <c r="AD646" i="26" s="1"/>
  <c r="AF646" i="26" s="1"/>
  <c r="AA312" i="26"/>
  <c r="AB312" i="26" s="1"/>
  <c r="AC312" i="26" s="1"/>
  <c r="AD312" i="26" s="1"/>
  <c r="AF312" i="26" s="1"/>
  <c r="AA821" i="26"/>
  <c r="AB821" i="26" s="1"/>
  <c r="AC821" i="26" s="1"/>
  <c r="AD821" i="26" s="1"/>
  <c r="AF821" i="26" s="1"/>
  <c r="AA810" i="26"/>
  <c r="AB810" i="26" s="1"/>
  <c r="AC810" i="26" s="1"/>
  <c r="AD810" i="26" s="1"/>
  <c r="AF810" i="26" s="1"/>
  <c r="AA620" i="26"/>
  <c r="AB620" i="26" s="1"/>
  <c r="AC620" i="26" s="1"/>
  <c r="AD620" i="26" s="1"/>
  <c r="AF620" i="26" s="1"/>
  <c r="AA526" i="26"/>
  <c r="AB526" i="26" s="1"/>
  <c r="AC526" i="26" s="1"/>
  <c r="AD526" i="26" s="1"/>
  <c r="AF526" i="26" s="1"/>
  <c r="AA310" i="26"/>
  <c r="AB310" i="26" s="1"/>
  <c r="AC310" i="26" s="1"/>
  <c r="AD310" i="26" s="1"/>
  <c r="AF310" i="26" s="1"/>
  <c r="AA349" i="26"/>
  <c r="AB349" i="26" s="1"/>
  <c r="AC349" i="26" s="1"/>
  <c r="AD349" i="26" s="1"/>
  <c r="AF349" i="26" s="1"/>
  <c r="AA870" i="26"/>
  <c r="AB870" i="26" s="1"/>
  <c r="AC870" i="26" s="1"/>
  <c r="AD870" i="26" s="1"/>
  <c r="AF870" i="26" s="1"/>
  <c r="AA580" i="26"/>
  <c r="AB580" i="26" s="1"/>
  <c r="AC580" i="26" s="1"/>
  <c r="AD580" i="26" s="1"/>
  <c r="AF580" i="26" s="1"/>
  <c r="AA340" i="26"/>
  <c r="AB340" i="26" s="1"/>
  <c r="AC340" i="26" s="1"/>
  <c r="AD340" i="26" s="1"/>
  <c r="AF340" i="26" s="1"/>
  <c r="AA574" i="26"/>
  <c r="AB574" i="26" s="1"/>
  <c r="AC574" i="26" s="1"/>
  <c r="AD574" i="26" s="1"/>
  <c r="AF574" i="26" s="1"/>
  <c r="AA324" i="26"/>
  <c r="AB324" i="26" s="1"/>
  <c r="AC324" i="26" s="1"/>
  <c r="AD324" i="26" s="1"/>
  <c r="AF324" i="26" s="1"/>
  <c r="AA538" i="26"/>
  <c r="AB538" i="26" s="1"/>
  <c r="AC538" i="26" s="1"/>
  <c r="AD538" i="26" s="1"/>
  <c r="AF538" i="26" s="1"/>
  <c r="AA513" i="26"/>
  <c r="AB513" i="26" s="1"/>
  <c r="AC513" i="26" s="1"/>
  <c r="AD513" i="26" s="1"/>
  <c r="AF513" i="26" s="1"/>
  <c r="AA535" i="26"/>
  <c r="AB535" i="26" s="1"/>
  <c r="AC535" i="26" s="1"/>
  <c r="AD535" i="26" s="1"/>
  <c r="AF535" i="26" s="1"/>
  <c r="AA595" i="26"/>
  <c r="AB595" i="26" s="1"/>
  <c r="AC595" i="26" s="1"/>
  <c r="AD595" i="26" s="1"/>
  <c r="AF595" i="26" s="1"/>
  <c r="AA634" i="26"/>
  <c r="AB634" i="26" s="1"/>
  <c r="AC634" i="26" s="1"/>
  <c r="AD634" i="26" s="1"/>
  <c r="AF634" i="26" s="1"/>
  <c r="AA691" i="26"/>
  <c r="AB691" i="26" s="1"/>
  <c r="AC691" i="26" s="1"/>
  <c r="AD691" i="26" s="1"/>
  <c r="AF691" i="26" s="1"/>
  <c r="AA827" i="26"/>
  <c r="AB827" i="26" s="1"/>
  <c r="AC827" i="26" s="1"/>
  <c r="AD827" i="26" s="1"/>
  <c r="AF827" i="26" s="1"/>
  <c r="AA305" i="26"/>
  <c r="AB305" i="26" s="1"/>
  <c r="AC305" i="26" s="1"/>
  <c r="AD305" i="26" s="1"/>
  <c r="AF305" i="26" s="1"/>
  <c r="AA347" i="26"/>
  <c r="AB347" i="26" s="1"/>
  <c r="AC347" i="26" s="1"/>
  <c r="AD347" i="26" s="1"/>
  <c r="AF347" i="26" s="1"/>
  <c r="AA585" i="26"/>
  <c r="AB585" i="26" s="1"/>
  <c r="AC585" i="26" s="1"/>
  <c r="AD585" i="26" s="1"/>
  <c r="AF585" i="26" s="1"/>
  <c r="AA572" i="26"/>
  <c r="AB572" i="26" s="1"/>
  <c r="AC572" i="26" s="1"/>
  <c r="AD572" i="26" s="1"/>
  <c r="AF572" i="26" s="1"/>
  <c r="AA667" i="26"/>
  <c r="AB667" i="26" s="1"/>
  <c r="AC667" i="26" s="1"/>
  <c r="AD667" i="26" s="1"/>
  <c r="AF667" i="26" s="1"/>
  <c r="AA557" i="26"/>
  <c r="AB557" i="26" s="1"/>
  <c r="AC557" i="26" s="1"/>
  <c r="AD557" i="26" s="1"/>
  <c r="AF557" i="26" s="1"/>
  <c r="AA536" i="26"/>
  <c r="AB536" i="26" s="1"/>
  <c r="AC536" i="26" s="1"/>
  <c r="AD536" i="26" s="1"/>
  <c r="AF536" i="26" s="1"/>
  <c r="AA529" i="26"/>
  <c r="AB529" i="26" s="1"/>
  <c r="AC529" i="26" s="1"/>
  <c r="AD529" i="26" s="1"/>
  <c r="AF529" i="26" s="1"/>
  <c r="AA531" i="26"/>
  <c r="AB531" i="26" s="1"/>
  <c r="AC531" i="26" s="1"/>
  <c r="AD531" i="26" s="1"/>
  <c r="AF531" i="26" s="1"/>
  <c r="AA603" i="26"/>
  <c r="AB603" i="26" s="1"/>
  <c r="AC603" i="26" s="1"/>
  <c r="AD603" i="26" s="1"/>
  <c r="AF603" i="26" s="1"/>
  <c r="AA811" i="26"/>
  <c r="AB811" i="26" s="1"/>
  <c r="AC811" i="26" s="1"/>
  <c r="AD811" i="26" s="1"/>
  <c r="AF811" i="26" s="1"/>
  <c r="AA702" i="26"/>
  <c r="AB702" i="26" s="1"/>
  <c r="AC702" i="26" s="1"/>
  <c r="AD702" i="26" s="1"/>
  <c r="AF702" i="26" s="1"/>
  <c r="AA636" i="26"/>
  <c r="AB636" i="26" s="1"/>
  <c r="AC636" i="26" s="1"/>
  <c r="AD636" i="26" s="1"/>
  <c r="AF636" i="26" s="1"/>
  <c r="AA596" i="26"/>
  <c r="AB596" i="26" s="1"/>
  <c r="AC596" i="26" s="1"/>
  <c r="AD596" i="26" s="1"/>
  <c r="AF596" i="26" s="1"/>
  <c r="AA556" i="26"/>
  <c r="AB556" i="26" s="1"/>
  <c r="AC556" i="26" s="1"/>
  <c r="AD556" i="26" s="1"/>
  <c r="AF556" i="26" s="1"/>
  <c r="AA515" i="26"/>
  <c r="AB515" i="26" s="1"/>
  <c r="AC515" i="26" s="1"/>
  <c r="AD515" i="26" s="1"/>
  <c r="AF515" i="26" s="1"/>
  <c r="AA327" i="26"/>
  <c r="AB327" i="26" s="1"/>
  <c r="AC327" i="26" s="1"/>
  <c r="AD327" i="26" s="1"/>
  <c r="AF327" i="26" s="1"/>
  <c r="AA332" i="26"/>
  <c r="AB332" i="26" s="1"/>
  <c r="AC332" i="26" s="1"/>
  <c r="AD332" i="26" s="1"/>
  <c r="AF332" i="26" s="1"/>
  <c r="AA330" i="26"/>
  <c r="AB330" i="26" s="1"/>
  <c r="AC330" i="26" s="1"/>
  <c r="AD330" i="26" s="1"/>
  <c r="AF330" i="26" s="1"/>
  <c r="AA664" i="26"/>
  <c r="AB664" i="26" s="1"/>
  <c r="AC664" i="26" s="1"/>
  <c r="AD664" i="26" s="1"/>
  <c r="AF664" i="26" s="1"/>
  <c r="AA311" i="26"/>
  <c r="AB311" i="26" s="1"/>
  <c r="AC311" i="26" s="1"/>
  <c r="AD311" i="26" s="1"/>
  <c r="AF311" i="26" s="1"/>
  <c r="AA593" i="26"/>
  <c r="AB593" i="26" s="1"/>
  <c r="AC593" i="26" s="1"/>
  <c r="AD593" i="26" s="1"/>
  <c r="AF593" i="26" s="1"/>
  <c r="AA872" i="26"/>
  <c r="AB872" i="26" s="1"/>
  <c r="AC872" i="26" s="1"/>
  <c r="AD872" i="26" s="1"/>
  <c r="AF872" i="26" s="1"/>
  <c r="AA544" i="26"/>
  <c r="AB544" i="26" s="1"/>
  <c r="AC544" i="26" s="1"/>
  <c r="AD544" i="26" s="1"/>
  <c r="AF544" i="26" s="1"/>
  <c r="AA638" i="26"/>
  <c r="AB638" i="26" s="1"/>
  <c r="AC638" i="26" s="1"/>
  <c r="AD638" i="26" s="1"/>
  <c r="AF638" i="26" s="1"/>
  <c r="AA342" i="26"/>
  <c r="AB342" i="26" s="1"/>
  <c r="AC342" i="26" s="1"/>
  <c r="AD342" i="26" s="1"/>
  <c r="AF342" i="26" s="1"/>
  <c r="AA553" i="26"/>
  <c r="AB553" i="26" s="1"/>
  <c r="AC553" i="26" s="1"/>
  <c r="AD553" i="26" s="1"/>
  <c r="AF553" i="26" s="1"/>
  <c r="AA695" i="26"/>
  <c r="AB695" i="26" s="1"/>
  <c r="AC695" i="26" s="1"/>
  <c r="AD695" i="26" s="1"/>
  <c r="AF695" i="26" s="1"/>
  <c r="AA547" i="26"/>
  <c r="AB547" i="26" s="1"/>
  <c r="AC547" i="26" s="1"/>
  <c r="AD547" i="26" s="1"/>
  <c r="AF547" i="26" s="1"/>
  <c r="AA591" i="26"/>
  <c r="AB591" i="26" s="1"/>
  <c r="AC591" i="26" s="1"/>
  <c r="AD591" i="26" s="1"/>
  <c r="AF591" i="26" s="1"/>
  <c r="AA566" i="26"/>
  <c r="AB566" i="26" s="1"/>
  <c r="AC566" i="26" s="1"/>
  <c r="AD566" i="26" s="1"/>
  <c r="AF566" i="26" s="1"/>
  <c r="AA670" i="26"/>
  <c r="AB670" i="26" s="1"/>
  <c r="AC670" i="26" s="1"/>
  <c r="AD670" i="26" s="1"/>
  <c r="AF670" i="26" s="1"/>
  <c r="AA704" i="26"/>
  <c r="AB704" i="26" s="1"/>
  <c r="AC704" i="26" s="1"/>
  <c r="AD704" i="26" s="1"/>
  <c r="AF704" i="26" s="1"/>
  <c r="AA830" i="26"/>
  <c r="AB830" i="26" s="1"/>
  <c r="AC830" i="26" s="1"/>
  <c r="AD830" i="26" s="1"/>
  <c r="AF830" i="26" s="1"/>
  <c r="AA506" i="26"/>
  <c r="AB506" i="26" s="1"/>
  <c r="AC506" i="26" s="1"/>
  <c r="AD506" i="26" s="1"/>
  <c r="AF506" i="26" s="1"/>
  <c r="AA611" i="26"/>
  <c r="AB611" i="26" s="1"/>
  <c r="AC611" i="26" s="1"/>
  <c r="AD611" i="26" s="1"/>
  <c r="AF611" i="26" s="1"/>
  <c r="AA567" i="26"/>
  <c r="AB567" i="26" s="1"/>
  <c r="AC567" i="26" s="1"/>
  <c r="AD567" i="26" s="1"/>
  <c r="AF567" i="26" s="1"/>
  <c r="AA694" i="26"/>
  <c r="AB694" i="26" s="1"/>
  <c r="AC694" i="26" s="1"/>
  <c r="AD694" i="26" s="1"/>
  <c r="AF694" i="26" s="1"/>
  <c r="AA549" i="26"/>
  <c r="AB549" i="26" s="1"/>
  <c r="AC549" i="26" s="1"/>
  <c r="AD549" i="26" s="1"/>
  <c r="AF549" i="26" s="1"/>
  <c r="AA551" i="26"/>
  <c r="AB551" i="26" s="1"/>
  <c r="AC551" i="26" s="1"/>
  <c r="AD551" i="26" s="1"/>
  <c r="AF551" i="26" s="1"/>
  <c r="AA539" i="26"/>
  <c r="AB539" i="26" s="1"/>
  <c r="AC539" i="26" s="1"/>
  <c r="AD539" i="26" s="1"/>
  <c r="AF539" i="26" s="1"/>
  <c r="AA345" i="26"/>
  <c r="AB345" i="26" s="1"/>
  <c r="AC345" i="26" s="1"/>
  <c r="AD345" i="26" s="1"/>
  <c r="AF345" i="26" s="1"/>
  <c r="AA527" i="26"/>
  <c r="AB527" i="26" s="1"/>
  <c r="AC527" i="26" s="1"/>
  <c r="AD527" i="26" s="1"/>
  <c r="AF527" i="26" s="1"/>
  <c r="AA343" i="26"/>
  <c r="AB343" i="26" s="1"/>
  <c r="AC343" i="26" s="1"/>
  <c r="AD343" i="26" s="1"/>
  <c r="AF343" i="26" s="1"/>
  <c r="AA570" i="26"/>
  <c r="AB570" i="26" s="1"/>
  <c r="AC570" i="26" s="1"/>
  <c r="AD570" i="26" s="1"/>
  <c r="AF570" i="26" s="1"/>
  <c r="AA637" i="26"/>
  <c r="AB637" i="26" s="1"/>
  <c r="AC637" i="26" s="1"/>
  <c r="AD637" i="26" s="1"/>
  <c r="AF637" i="26" s="1"/>
  <c r="AA309" i="26"/>
  <c r="AB309" i="26" s="1"/>
  <c r="AC309" i="26" s="1"/>
  <c r="AD309" i="26" s="1"/>
  <c r="AF309" i="26" s="1"/>
  <c r="AA496" i="26"/>
  <c r="AB496" i="26" s="1"/>
  <c r="AC496" i="26" s="1"/>
  <c r="AD496" i="26" s="1"/>
  <c r="AF496" i="26" s="1"/>
  <c r="AA617" i="26"/>
  <c r="AB617" i="26" s="1"/>
  <c r="AC617" i="26" s="1"/>
  <c r="AD617" i="26" s="1"/>
  <c r="AF617" i="26" s="1"/>
  <c r="AA685" i="26"/>
  <c r="AB685" i="26" s="1"/>
  <c r="AC685" i="26" s="1"/>
  <c r="AD685" i="26" s="1"/>
  <c r="AF685" i="26" s="1"/>
  <c r="AA497" i="26"/>
  <c r="AB497" i="26" s="1"/>
  <c r="AC497" i="26" s="1"/>
  <c r="AD497" i="26" s="1"/>
  <c r="AF497" i="26" s="1"/>
  <c r="AA582" i="26"/>
  <c r="AB582" i="26" s="1"/>
  <c r="AC582" i="26" s="1"/>
  <c r="AD582" i="26" s="1"/>
  <c r="AF582" i="26" s="1"/>
  <c r="AA652" i="26"/>
  <c r="AB652" i="26" s="1"/>
  <c r="AC652" i="26" s="1"/>
  <c r="AD652" i="26" s="1"/>
  <c r="AF652" i="26" s="1"/>
  <c r="AA624" i="26"/>
  <c r="AB624" i="26" s="1"/>
  <c r="AC624" i="26" s="1"/>
  <c r="AD624" i="26" s="1"/>
  <c r="AF624" i="26" s="1"/>
  <c r="AA641" i="26"/>
  <c r="AB641" i="26" s="1"/>
  <c r="AC641" i="26" s="1"/>
  <c r="AD641" i="26" s="1"/>
  <c r="AF641" i="26" s="1"/>
  <c r="AA679" i="26"/>
  <c r="AB679" i="26" s="1"/>
  <c r="AC679" i="26" s="1"/>
  <c r="AD679" i="26" s="1"/>
  <c r="AF679" i="26" s="1"/>
  <c r="AA813" i="26"/>
  <c r="AB813" i="26" s="1"/>
  <c r="AC813" i="26" s="1"/>
  <c r="AD813" i="26" s="1"/>
  <c r="AF813" i="26" s="1"/>
  <c r="U1103" i="26"/>
  <c r="AA575" i="26"/>
  <c r="AB575" i="26" s="1"/>
  <c r="AC575" i="26" s="1"/>
  <c r="AD575" i="26" s="1"/>
  <c r="AF575" i="26" s="1"/>
  <c r="AA609" i="26"/>
  <c r="AB609" i="26" s="1"/>
  <c r="AC609" i="26" s="1"/>
  <c r="AD609" i="26" s="1"/>
  <c r="AF609" i="26" s="1"/>
  <c r="AA511" i="26"/>
  <c r="AB511" i="26" s="1"/>
  <c r="AC511" i="26" s="1"/>
  <c r="AD511" i="26" s="1"/>
  <c r="AF511" i="26" s="1"/>
  <c r="AA523" i="26"/>
  <c r="AB523" i="26" s="1"/>
  <c r="AC523" i="26" s="1"/>
  <c r="AD523" i="26" s="1"/>
  <c r="AF523" i="26" s="1"/>
  <c r="AA329" i="26"/>
  <c r="AB329" i="26" s="1"/>
  <c r="AC329" i="26" s="1"/>
  <c r="AD329" i="26" s="1"/>
  <c r="AF329" i="26" s="1"/>
  <c r="AA922" i="26"/>
  <c r="AB922" i="26" s="1"/>
  <c r="AC922" i="26" s="1"/>
  <c r="AD922" i="26" s="1"/>
  <c r="AF922" i="26" s="1"/>
  <c r="AA546" i="26"/>
  <c r="AB546" i="26" s="1"/>
  <c r="AC546" i="26" s="1"/>
  <c r="AD546" i="26" s="1"/>
  <c r="AF546" i="26" s="1"/>
  <c r="AA301" i="26"/>
  <c r="AB301" i="26" s="1"/>
  <c r="AC301" i="26" s="1"/>
  <c r="AD301" i="26" s="1"/>
  <c r="AF301" i="26" s="1"/>
  <c r="AA558" i="26"/>
  <c r="AB558" i="26" s="1"/>
  <c r="AC558" i="26" s="1"/>
  <c r="AD558" i="26" s="1"/>
  <c r="AF558" i="26" s="1"/>
  <c r="AA604" i="26"/>
  <c r="AB604" i="26" s="1"/>
  <c r="AC604" i="26" s="1"/>
  <c r="AD604" i="26" s="1"/>
  <c r="AF604" i="26" s="1"/>
  <c r="AA829" i="26"/>
  <c r="AB829" i="26" s="1"/>
  <c r="AC829" i="26" s="1"/>
  <c r="AD829" i="26" s="1"/>
  <c r="AF829" i="26" s="1"/>
  <c r="AA571" i="26"/>
  <c r="AB571" i="26" s="1"/>
  <c r="AC571" i="26" s="1"/>
  <c r="AD571" i="26" s="1"/>
  <c r="AF571" i="26" s="1"/>
  <c r="AA315" i="26"/>
  <c r="AB315" i="26" s="1"/>
  <c r="AC315" i="26" s="1"/>
  <c r="AD315" i="26" s="1"/>
  <c r="AF315" i="26" s="1"/>
  <c r="AA319" i="26"/>
  <c r="AB319" i="26" s="1"/>
  <c r="AC319" i="26" s="1"/>
  <c r="AD319" i="26" s="1"/>
  <c r="AF319" i="26" s="1"/>
  <c r="AA498" i="26"/>
  <c r="AB498" i="26" s="1"/>
  <c r="AC498" i="26" s="1"/>
  <c r="AD498" i="26" s="1"/>
  <c r="AF498" i="26" s="1"/>
  <c r="AA616" i="26"/>
  <c r="AB616" i="26" s="1"/>
  <c r="AC616" i="26" s="1"/>
  <c r="AD616" i="26" s="1"/>
  <c r="AF616" i="26" s="1"/>
  <c r="AA597" i="26"/>
  <c r="AB597" i="26" s="1"/>
  <c r="AC597" i="26" s="1"/>
  <c r="AD597" i="26" s="1"/>
  <c r="AF597" i="26" s="1"/>
  <c r="AA650" i="26"/>
  <c r="AB650" i="26" s="1"/>
  <c r="AC650" i="26" s="1"/>
  <c r="AD650" i="26" s="1"/>
  <c r="AF650" i="26" s="1"/>
  <c r="AA520" i="26"/>
  <c r="AB520" i="26" s="1"/>
  <c r="AC520" i="26" s="1"/>
  <c r="AD520" i="26" s="1"/>
  <c r="AF520" i="26" s="1"/>
  <c r="AA505" i="26"/>
  <c r="AB505" i="26" s="1"/>
  <c r="AC505" i="26" s="1"/>
  <c r="AD505" i="26" s="1"/>
  <c r="AF505" i="26" s="1"/>
  <c r="AA626" i="26"/>
  <c r="AB626" i="26" s="1"/>
  <c r="AC626" i="26" s="1"/>
  <c r="AD626" i="26" s="1"/>
  <c r="AF626" i="26" s="1"/>
  <c r="AA589" i="26"/>
  <c r="AB589" i="26" s="1"/>
  <c r="AC589" i="26" s="1"/>
  <c r="AD589" i="26" s="1"/>
  <c r="AF589" i="26" s="1"/>
  <c r="AA687" i="26"/>
  <c r="AB687" i="26" s="1"/>
  <c r="AC687" i="26" s="1"/>
  <c r="AD687" i="26" s="1"/>
  <c r="AF687" i="26" s="1"/>
  <c r="AA533" i="26"/>
  <c r="AB533" i="26" s="1"/>
  <c r="AC533" i="26" s="1"/>
  <c r="AD533" i="26" s="1"/>
  <c r="AF533" i="26" s="1"/>
  <c r="AA501" i="26"/>
  <c r="AB501" i="26" s="1"/>
  <c r="AC501" i="26" s="1"/>
  <c r="AD501" i="26" s="1"/>
  <c r="AF501" i="26" s="1"/>
  <c r="AA335" i="26"/>
  <c r="AB335" i="26" s="1"/>
  <c r="AC335" i="26" s="1"/>
  <c r="AD335" i="26" s="1"/>
  <c r="AF335" i="26" s="1"/>
  <c r="AA674" i="26"/>
  <c r="AB674" i="26" s="1"/>
  <c r="AC674" i="26" s="1"/>
  <c r="AD674" i="26" s="1"/>
  <c r="AF674" i="26" s="1"/>
  <c r="AA300" i="26"/>
  <c r="AB300" i="26" s="1"/>
  <c r="AC300" i="26" s="1"/>
  <c r="AD300" i="26" s="1"/>
  <c r="AF300" i="26" s="1"/>
  <c r="AA817" i="26"/>
  <c r="AB817" i="26" s="1"/>
  <c r="AC817" i="26" s="1"/>
  <c r="AD817" i="26" s="1"/>
  <c r="AF817" i="26" s="1"/>
  <c r="AA331" i="26"/>
  <c r="AB331" i="26" s="1"/>
  <c r="AC331" i="26" s="1"/>
  <c r="AD331" i="26" s="1"/>
  <c r="AF331" i="26" s="1"/>
  <c r="AA613" i="26"/>
  <c r="AB613" i="26" s="1"/>
  <c r="AC613" i="26" s="1"/>
  <c r="AD613" i="26" s="1"/>
  <c r="AF613" i="26" s="1"/>
  <c r="AA693" i="26"/>
  <c r="AB693" i="26" s="1"/>
  <c r="AC693" i="26" s="1"/>
  <c r="AD693" i="26" s="1"/>
  <c r="AF693" i="26" s="1"/>
  <c r="AA815" i="26"/>
  <c r="AB815" i="26" s="1"/>
  <c r="AC815" i="26" s="1"/>
  <c r="AD815" i="26" s="1"/>
  <c r="AF815" i="26" s="1"/>
  <c r="AA303" i="26"/>
  <c r="AB303" i="26" s="1"/>
  <c r="AC303" i="26" s="1"/>
  <c r="AD303" i="26" s="1"/>
  <c r="AF303" i="26" s="1"/>
  <c r="AA644" i="26"/>
  <c r="AB644" i="26" s="1"/>
  <c r="AC644" i="26" s="1"/>
  <c r="AD644" i="26" s="1"/>
  <c r="AF644" i="26" s="1"/>
  <c r="AA649" i="26"/>
  <c r="AB649" i="26" s="1"/>
  <c r="AC649" i="26" s="1"/>
  <c r="AD649" i="26" s="1"/>
  <c r="AF649" i="26" s="1"/>
  <c r="AA904" i="26"/>
  <c r="AB904" i="26" s="1"/>
  <c r="AC904" i="26" s="1"/>
  <c r="AD904" i="26" s="1"/>
  <c r="AF904" i="26" s="1"/>
  <c r="AA602" i="26"/>
  <c r="AB602" i="26" s="1"/>
  <c r="AC602" i="26" s="1"/>
  <c r="AD602" i="26" s="1"/>
  <c r="AF602" i="26" s="1"/>
  <c r="AA630" i="26"/>
  <c r="AB630" i="26" s="1"/>
  <c r="AC630" i="26" s="1"/>
  <c r="AD630" i="26" s="1"/>
  <c r="AF630" i="26" s="1"/>
  <c r="AA635" i="26"/>
  <c r="AB635" i="26" s="1"/>
  <c r="AC635" i="26" s="1"/>
  <c r="AD635" i="26" s="1"/>
  <c r="AF635" i="26" s="1"/>
  <c r="AA651" i="26"/>
  <c r="AB651" i="26" s="1"/>
  <c r="AC651" i="26" s="1"/>
  <c r="AD651" i="26" s="1"/>
  <c r="AF651" i="26" s="1"/>
  <c r="AA696" i="26"/>
  <c r="AB696" i="26" s="1"/>
  <c r="AC696" i="26" s="1"/>
  <c r="AD696" i="26" s="1"/>
  <c r="AF696" i="26" s="1"/>
  <c r="AA594" i="26"/>
  <c r="AB594" i="26" s="1"/>
  <c r="AC594" i="26" s="1"/>
  <c r="AD594" i="26" s="1"/>
  <c r="AF594" i="26" s="1"/>
  <c r="AA639" i="26"/>
  <c r="AB639" i="26" s="1"/>
  <c r="AC639" i="26" s="1"/>
  <c r="AD639" i="26" s="1"/>
  <c r="AF639" i="26" s="1"/>
  <c r="AA654" i="26"/>
  <c r="AB654" i="26" s="1"/>
  <c r="AC654" i="26" s="1"/>
  <c r="AD654" i="26" s="1"/>
  <c r="AF654" i="26" s="1"/>
  <c r="AA534" i="26"/>
  <c r="AB534" i="26" s="1"/>
  <c r="AC534" i="26" s="1"/>
  <c r="AD534" i="26" s="1"/>
  <c r="AF534" i="26" s="1"/>
  <c r="AA548" i="26"/>
  <c r="AB548" i="26" s="1"/>
  <c r="AC548" i="26" s="1"/>
  <c r="AD548" i="26" s="1"/>
  <c r="AF548" i="26" s="1"/>
  <c r="AA563" i="26"/>
  <c r="AB563" i="26" s="1"/>
  <c r="AC563" i="26" s="1"/>
  <c r="AD563" i="26" s="1"/>
  <c r="AF563" i="26" s="1"/>
  <c r="AA643" i="26"/>
  <c r="AB643" i="26" s="1"/>
  <c r="AC643" i="26" s="1"/>
  <c r="AD643" i="26" s="1"/>
  <c r="AF643" i="26" s="1"/>
  <c r="AA698" i="26"/>
  <c r="AB698" i="26" s="1"/>
  <c r="AC698" i="26" s="1"/>
  <c r="AD698" i="26" s="1"/>
  <c r="AF698" i="26" s="1"/>
  <c r="AA816" i="26"/>
  <c r="AB816" i="26" s="1"/>
  <c r="AC816" i="26" s="1"/>
  <c r="AD816" i="26" s="1"/>
  <c r="AF816" i="26" s="1"/>
  <c r="AA692" i="26"/>
  <c r="AB692" i="26" s="1"/>
  <c r="AC692" i="26" s="1"/>
  <c r="AD692" i="26" s="1"/>
  <c r="AF692" i="26" s="1"/>
  <c r="AA607" i="26"/>
  <c r="AB607" i="26" s="1"/>
  <c r="AC607" i="26" s="1"/>
  <c r="AD607" i="26" s="1"/>
  <c r="AF607" i="26" s="1"/>
  <c r="AA823" i="26"/>
  <c r="AB823" i="26" s="1"/>
  <c r="AC823" i="26" s="1"/>
  <c r="AD823" i="26" s="1"/>
  <c r="AF823" i="26" s="1"/>
  <c r="AA642" i="26"/>
  <c r="AB642" i="26" s="1"/>
  <c r="AC642" i="26" s="1"/>
  <c r="AD642" i="26" s="1"/>
  <c r="AF642" i="26" s="1"/>
  <c r="AA920" i="26"/>
  <c r="AB920" i="26" s="1"/>
  <c r="AC920" i="26" s="1"/>
  <c r="AD920" i="26" s="1"/>
  <c r="AF920" i="26" s="1"/>
  <c r="AA825" i="26"/>
  <c r="AB825" i="26" s="1"/>
  <c r="AC825" i="26" s="1"/>
  <c r="AD825" i="26" s="1"/>
  <c r="AF825" i="26" s="1"/>
  <c r="U1105" i="26"/>
  <c r="AA916" i="26"/>
  <c r="AB916" i="26" s="1"/>
  <c r="AC916" i="26" s="1"/>
  <c r="AD916" i="26" s="1"/>
  <c r="AF916" i="26" s="1"/>
  <c r="U1104" i="26"/>
  <c r="AA901" i="26"/>
  <c r="AB901" i="26" s="1"/>
  <c r="AC901" i="26" s="1"/>
  <c r="AD901" i="26" s="1"/>
  <c r="AF901" i="26" s="1"/>
  <c r="AA914" i="26"/>
  <c r="AB914" i="26" s="1"/>
  <c r="AC914" i="26" s="1"/>
  <c r="AD914" i="26" s="1"/>
  <c r="AF914" i="26" s="1"/>
  <c r="AA911" i="26"/>
  <c r="AB911" i="26" s="1"/>
  <c r="AC911" i="26" s="1"/>
  <c r="AD911" i="26" s="1"/>
  <c r="AF911" i="26" s="1"/>
  <c r="AA908" i="26"/>
  <c r="AB908" i="26" s="1"/>
  <c r="AC908" i="26" s="1"/>
  <c r="AD908" i="26" s="1"/>
  <c r="AF908" i="26" s="1"/>
  <c r="AA912" i="26"/>
  <c r="AB912" i="26" s="1"/>
  <c r="AC912" i="26" s="1"/>
  <c r="AD912" i="26" s="1"/>
  <c r="AF912" i="26" s="1"/>
  <c r="AA910" i="26"/>
  <c r="AB910" i="26" s="1"/>
  <c r="AC910" i="26" s="1"/>
  <c r="AD910" i="26" s="1"/>
  <c r="AF910" i="26" s="1"/>
  <c r="AA907" i="26"/>
  <c r="AB907" i="26" s="1"/>
  <c r="AC907" i="26" s="1"/>
  <c r="AD907" i="26" s="1"/>
  <c r="AF907" i="26" s="1"/>
  <c r="AA913" i="26"/>
  <c r="AB913" i="26" s="1"/>
  <c r="AC913" i="26" s="1"/>
  <c r="AD913" i="26" s="1"/>
  <c r="AF913" i="26" s="1"/>
  <c r="AA909" i="26"/>
  <c r="AB909" i="26" s="1"/>
  <c r="AC909" i="26" s="1"/>
  <c r="AD909" i="26" s="1"/>
  <c r="AF909" i="26" s="1"/>
  <c r="AA906" i="26"/>
  <c r="AB906" i="26" s="1"/>
  <c r="AC906" i="26" s="1"/>
  <c r="AD906" i="26" s="1"/>
  <c r="AF906" i="26" s="1"/>
  <c r="V894" i="26"/>
  <c r="AA894" i="26" s="1"/>
  <c r="AB894" i="26" s="1"/>
  <c r="AC894" i="26" s="1"/>
  <c r="AD894" i="26" s="1"/>
  <c r="AF894" i="26" s="1"/>
  <c r="AA897" i="26"/>
  <c r="AB897" i="26" s="1"/>
  <c r="AC897" i="26" s="1"/>
  <c r="AD897" i="26" s="1"/>
  <c r="AF897" i="26" s="1"/>
  <c r="AA898" i="26"/>
  <c r="AB898" i="26" s="1"/>
  <c r="AC898" i="26" s="1"/>
  <c r="AD898" i="26" s="1"/>
  <c r="AF898" i="26" s="1"/>
  <c r="AA899" i="26"/>
  <c r="AB899" i="26" s="1"/>
  <c r="AC899" i="26" s="1"/>
  <c r="AD899" i="26" s="1"/>
  <c r="AF899" i="26" s="1"/>
  <c r="AA900" i="26"/>
  <c r="AB900" i="26" s="1"/>
  <c r="AC900" i="26" s="1"/>
  <c r="AD900" i="26" s="1"/>
  <c r="AF900" i="26" s="1"/>
  <c r="V892" i="26"/>
  <c r="AA892" i="26" s="1"/>
  <c r="AB892" i="26" s="1"/>
  <c r="AC892" i="26" s="1"/>
  <c r="AD892" i="26" s="1"/>
  <c r="AF892" i="26" s="1"/>
  <c r="V893" i="26"/>
  <c r="AA893" i="26" s="1"/>
  <c r="AB893" i="26" s="1"/>
  <c r="AC893" i="26" s="1"/>
  <c r="AD893" i="26" s="1"/>
  <c r="AF893" i="26" s="1"/>
  <c r="V865" i="26"/>
  <c r="AA865" i="26" s="1"/>
  <c r="AB865" i="26" s="1"/>
  <c r="AC865" i="26" s="1"/>
  <c r="AD865" i="26" s="1"/>
  <c r="AF865" i="26" s="1"/>
  <c r="V868" i="26"/>
  <c r="AA868" i="26" s="1"/>
  <c r="AB868" i="26" s="1"/>
  <c r="AC868" i="26" s="1"/>
  <c r="AD868" i="26" s="1"/>
  <c r="AF868" i="26" s="1"/>
  <c r="V864" i="26"/>
  <c r="AA864" i="26" s="1"/>
  <c r="AB864" i="26" s="1"/>
  <c r="AC864" i="26" s="1"/>
  <c r="AD864" i="26" s="1"/>
  <c r="AF864" i="26" s="1"/>
  <c r="V866" i="26"/>
  <c r="AA866" i="26" s="1"/>
  <c r="AB866" i="26" s="1"/>
  <c r="AC866" i="26" s="1"/>
  <c r="AD866" i="26" s="1"/>
  <c r="AF866" i="26" s="1"/>
  <c r="V867" i="26"/>
  <c r="AA867" i="26" s="1"/>
  <c r="AB867" i="26" s="1"/>
  <c r="AC867" i="26" s="1"/>
  <c r="AD867" i="26" s="1"/>
  <c r="AF867" i="26" s="1"/>
  <c r="V861" i="26"/>
  <c r="AA861" i="26" s="1"/>
  <c r="AB861" i="26" s="1"/>
  <c r="AC861" i="26" s="1"/>
  <c r="AD861" i="26" s="1"/>
  <c r="AF861" i="26" s="1"/>
  <c r="V863" i="26"/>
  <c r="AA863" i="26" s="1"/>
  <c r="AB863" i="26" s="1"/>
  <c r="AC863" i="26" s="1"/>
  <c r="AD863" i="26" s="1"/>
  <c r="AF863" i="26" s="1"/>
  <c r="V859" i="26"/>
  <c r="AA859" i="26" s="1"/>
  <c r="AB859" i="26" s="1"/>
  <c r="AC859" i="26" s="1"/>
  <c r="AD859" i="26" s="1"/>
  <c r="AF859" i="26" s="1"/>
  <c r="V860" i="26"/>
  <c r="AA860" i="26" s="1"/>
  <c r="AB860" i="26" s="1"/>
  <c r="AC860" i="26" s="1"/>
  <c r="AD860" i="26" s="1"/>
  <c r="AF860" i="26" s="1"/>
  <c r="V843" i="26"/>
  <c r="AA843" i="26" s="1"/>
  <c r="AB843" i="26" s="1"/>
  <c r="AC843" i="26" s="1"/>
  <c r="AD843" i="26" s="1"/>
  <c r="AF843" i="26" s="1"/>
  <c r="V858" i="26"/>
  <c r="AA858" i="26" s="1"/>
  <c r="AB858" i="26" s="1"/>
  <c r="AC858" i="26" s="1"/>
  <c r="AD858" i="26" s="1"/>
  <c r="AF858" i="26" s="1"/>
  <c r="V844" i="26"/>
  <c r="AA844" i="26" s="1"/>
  <c r="AB844" i="26" s="1"/>
  <c r="AC844" i="26" s="1"/>
  <c r="AD844" i="26" s="1"/>
  <c r="AF844" i="26" s="1"/>
  <c r="V854" i="26"/>
  <c r="AA854" i="26" s="1"/>
  <c r="AB854" i="26" s="1"/>
  <c r="AC854" i="26" s="1"/>
  <c r="AD854" i="26" s="1"/>
  <c r="AF854" i="26" s="1"/>
  <c r="V850" i="26"/>
  <c r="AA850" i="26" s="1"/>
  <c r="AB850" i="26" s="1"/>
  <c r="AC850" i="26" s="1"/>
  <c r="AD850" i="26" s="1"/>
  <c r="AF850" i="26" s="1"/>
  <c r="V856" i="26"/>
  <c r="AA856" i="26" s="1"/>
  <c r="AB856" i="26" s="1"/>
  <c r="AC856" i="26" s="1"/>
  <c r="AD856" i="26" s="1"/>
  <c r="AF856" i="26" s="1"/>
  <c r="V848" i="26"/>
  <c r="AA848" i="26" s="1"/>
  <c r="AB848" i="26" s="1"/>
  <c r="AC848" i="26" s="1"/>
  <c r="AD848" i="26" s="1"/>
  <c r="AF848" i="26" s="1"/>
  <c r="V852" i="26"/>
  <c r="AA852" i="26" s="1"/>
  <c r="AB852" i="26" s="1"/>
  <c r="AC852" i="26" s="1"/>
  <c r="AD852" i="26" s="1"/>
  <c r="AF852" i="26" s="1"/>
  <c r="V846" i="26"/>
  <c r="AA846" i="26" s="1"/>
  <c r="AB846" i="26" s="1"/>
  <c r="AC846" i="26" s="1"/>
  <c r="AD846" i="26" s="1"/>
  <c r="AF846" i="26" s="1"/>
  <c r="V851" i="26"/>
  <c r="AA851" i="26" s="1"/>
  <c r="AB851" i="26" s="1"/>
  <c r="AC851" i="26" s="1"/>
  <c r="AD851" i="26" s="1"/>
  <c r="AF851" i="26" s="1"/>
  <c r="V849" i="26"/>
  <c r="AA849" i="26" s="1"/>
  <c r="AB849" i="26" s="1"/>
  <c r="AC849" i="26" s="1"/>
  <c r="AD849" i="26" s="1"/>
  <c r="AF849" i="26" s="1"/>
  <c r="V845" i="26"/>
  <c r="AA845" i="26" s="1"/>
  <c r="AB845" i="26" s="1"/>
  <c r="AC845" i="26" s="1"/>
  <c r="AD845" i="26" s="1"/>
  <c r="AF845" i="26" s="1"/>
  <c r="V853" i="26"/>
  <c r="AA853" i="26" s="1"/>
  <c r="AB853" i="26" s="1"/>
  <c r="AC853" i="26" s="1"/>
  <c r="AD853" i="26" s="1"/>
  <c r="AF853" i="26" s="1"/>
  <c r="V847" i="26"/>
  <c r="AA847" i="26" s="1"/>
  <c r="AB847" i="26" s="1"/>
  <c r="AC847" i="26" s="1"/>
  <c r="AD847" i="26" s="1"/>
  <c r="AF847" i="26" s="1"/>
  <c r="V855" i="26"/>
  <c r="AA855" i="26" s="1"/>
  <c r="AB855" i="26" s="1"/>
  <c r="AC855" i="26" s="1"/>
  <c r="AD855" i="26" s="1"/>
  <c r="AF855" i="26" s="1"/>
  <c r="U152" i="26"/>
  <c r="AA152" i="26" s="1"/>
  <c r="AB152" i="26" s="1"/>
  <c r="AC152" i="26" s="1"/>
  <c r="AD152" i="26" s="1"/>
  <c r="AF152" i="26" s="1"/>
  <c r="U168" i="26"/>
  <c r="AA168" i="26" s="1"/>
  <c r="AB168" i="26" s="1"/>
  <c r="AC168" i="26" s="1"/>
  <c r="AD168" i="26" s="1"/>
  <c r="AF168" i="26" s="1"/>
  <c r="U159" i="26"/>
  <c r="AA159" i="26" s="1"/>
  <c r="AB159" i="26" s="1"/>
  <c r="AC159" i="26" s="1"/>
  <c r="AD159" i="26" s="1"/>
  <c r="AF159" i="26" s="1"/>
  <c r="U171" i="26"/>
  <c r="AA171" i="26" s="1"/>
  <c r="AB171" i="26" s="1"/>
  <c r="AC171" i="26" s="1"/>
  <c r="AD171" i="26" s="1"/>
  <c r="AF171" i="26" s="1"/>
  <c r="U163" i="26"/>
  <c r="AA163" i="26" s="1"/>
  <c r="AB163" i="26" s="1"/>
  <c r="AC163" i="26" s="1"/>
  <c r="AD163" i="26" s="1"/>
  <c r="AF163" i="26" s="1"/>
  <c r="U172" i="26"/>
  <c r="AA172" i="26" s="1"/>
  <c r="AB172" i="26" s="1"/>
  <c r="AC172" i="26" s="1"/>
  <c r="AD172" i="26" s="1"/>
  <c r="AF172" i="26" s="1"/>
  <c r="U164" i="26"/>
  <c r="AA164" i="26" s="1"/>
  <c r="AB164" i="26" s="1"/>
  <c r="AC164" i="26" s="1"/>
  <c r="AD164" i="26" s="1"/>
  <c r="AF164" i="26" s="1"/>
  <c r="U156" i="26"/>
  <c r="AA156" i="26" s="1"/>
  <c r="AB156" i="26" s="1"/>
  <c r="AC156" i="26" s="1"/>
  <c r="AD156" i="26" s="1"/>
  <c r="AF156" i="26" s="1"/>
  <c r="U167" i="26"/>
  <c r="AA167" i="26" s="1"/>
  <c r="AB167" i="26" s="1"/>
  <c r="AC167" i="26" s="1"/>
  <c r="AD167" i="26" s="1"/>
  <c r="AF167" i="26" s="1"/>
  <c r="U155" i="26"/>
  <c r="AA155" i="26" s="1"/>
  <c r="AB155" i="26" s="1"/>
  <c r="AC155" i="26" s="1"/>
  <c r="AD155" i="26" s="1"/>
  <c r="AF155" i="26" s="1"/>
  <c r="U160" i="26"/>
  <c r="AA160" i="26" s="1"/>
  <c r="AB160" i="26" s="1"/>
  <c r="AC160" i="26" s="1"/>
  <c r="AD160" i="26" s="1"/>
  <c r="AF160" i="26" s="1"/>
  <c r="U154" i="26"/>
  <c r="AA154" i="26" s="1"/>
  <c r="AB154" i="26" s="1"/>
  <c r="AC154" i="26" s="1"/>
  <c r="AD154" i="26" s="1"/>
  <c r="AF154" i="26" s="1"/>
  <c r="U166" i="26"/>
  <c r="AA166" i="26" s="1"/>
  <c r="AB166" i="26" s="1"/>
  <c r="AC166" i="26" s="1"/>
  <c r="AD166" i="26" s="1"/>
  <c r="AF166" i="26" s="1"/>
  <c r="U173" i="26"/>
  <c r="AA173" i="26" s="1"/>
  <c r="AB173" i="26" s="1"/>
  <c r="AC173" i="26" s="1"/>
  <c r="AD173" i="26" s="1"/>
  <c r="AF173" i="26" s="1"/>
  <c r="U157" i="26"/>
  <c r="AA157" i="26" s="1"/>
  <c r="AB157" i="26" s="1"/>
  <c r="AC157" i="26" s="1"/>
  <c r="AD157" i="26" s="1"/>
  <c r="AF157" i="26" s="1"/>
  <c r="U169" i="26"/>
  <c r="AA169" i="26" s="1"/>
  <c r="AB169" i="26" s="1"/>
  <c r="AC169" i="26" s="1"/>
  <c r="AD169" i="26" s="1"/>
  <c r="AF169" i="26" s="1"/>
  <c r="U170" i="26"/>
  <c r="AA170" i="26" s="1"/>
  <c r="AB170" i="26" s="1"/>
  <c r="AC170" i="26" s="1"/>
  <c r="AD170" i="26" s="1"/>
  <c r="AF170" i="26" s="1"/>
  <c r="U161" i="26"/>
  <c r="AA161" i="26" s="1"/>
  <c r="AB161" i="26" s="1"/>
  <c r="AC161" i="26" s="1"/>
  <c r="AD161" i="26" s="1"/>
  <c r="AF161" i="26" s="1"/>
  <c r="U165" i="26"/>
  <c r="AA165" i="26" s="1"/>
  <c r="AB165" i="26" s="1"/>
  <c r="AC165" i="26" s="1"/>
  <c r="AD165" i="26" s="1"/>
  <c r="AF165" i="26" s="1"/>
  <c r="U153" i="26"/>
  <c r="AA153" i="26" s="1"/>
  <c r="AB153" i="26" s="1"/>
  <c r="AC153" i="26" s="1"/>
  <c r="AD153" i="26" s="1"/>
  <c r="AF153" i="26" s="1"/>
  <c r="U162" i="26"/>
  <c r="AA162" i="26" s="1"/>
  <c r="AB162" i="26" s="1"/>
  <c r="AC162" i="26" s="1"/>
  <c r="AD162" i="26" s="1"/>
  <c r="AF162" i="26" s="1"/>
  <c r="U158" i="26"/>
  <c r="AA158" i="26" s="1"/>
  <c r="AB158" i="26" s="1"/>
  <c r="AC158" i="26" s="1"/>
  <c r="AD158" i="26" s="1"/>
  <c r="AF158" i="26" s="1"/>
  <c r="U147" i="26"/>
  <c r="AA147" i="26" s="1"/>
  <c r="AB147" i="26" s="1"/>
  <c r="AC147" i="26" s="1"/>
  <c r="AD147" i="26" s="1"/>
  <c r="AF147" i="26" s="1"/>
  <c r="U142" i="26"/>
  <c r="AA142" i="26" s="1"/>
  <c r="AB142" i="26" s="1"/>
  <c r="AC142" i="26" s="1"/>
  <c r="AD142" i="26" s="1"/>
  <c r="AF142" i="26" s="1"/>
  <c r="U144" i="26"/>
  <c r="AA144" i="26" s="1"/>
  <c r="AB144" i="26" s="1"/>
  <c r="AC144" i="26" s="1"/>
  <c r="AD144" i="26" s="1"/>
  <c r="AF144" i="26" s="1"/>
  <c r="U140" i="26"/>
  <c r="AA140" i="26" s="1"/>
  <c r="AB140" i="26" s="1"/>
  <c r="AC140" i="26" s="1"/>
  <c r="AD140" i="26" s="1"/>
  <c r="AF140" i="26" s="1"/>
  <c r="U150" i="26"/>
  <c r="AA150" i="26" s="1"/>
  <c r="AB150" i="26" s="1"/>
  <c r="AC150" i="26" s="1"/>
  <c r="AD150" i="26" s="1"/>
  <c r="AF150" i="26" s="1"/>
  <c r="U148" i="26"/>
  <c r="AA148" i="26" s="1"/>
  <c r="AB148" i="26" s="1"/>
  <c r="AC148" i="26" s="1"/>
  <c r="AD148" i="26" s="1"/>
  <c r="AF148" i="26" s="1"/>
  <c r="U146" i="26"/>
  <c r="AA146" i="26" s="1"/>
  <c r="AB146" i="26" s="1"/>
  <c r="AC146" i="26" s="1"/>
  <c r="AD146" i="26" s="1"/>
  <c r="AF146" i="26" s="1"/>
  <c r="U145" i="26"/>
  <c r="AA145" i="26" s="1"/>
  <c r="AB145" i="26" s="1"/>
  <c r="AC145" i="26" s="1"/>
  <c r="AD145" i="26" s="1"/>
  <c r="AF145" i="26" s="1"/>
  <c r="U141" i="26"/>
  <c r="AA141" i="26" s="1"/>
  <c r="AB141" i="26" s="1"/>
  <c r="AC141" i="26" s="1"/>
  <c r="AD141" i="26" s="1"/>
  <c r="AF141" i="26" s="1"/>
  <c r="U149" i="26"/>
  <c r="AA149" i="26" s="1"/>
  <c r="AB149" i="26" s="1"/>
  <c r="AC149" i="26" s="1"/>
  <c r="AD149" i="26" s="1"/>
  <c r="AF149" i="26" s="1"/>
  <c r="U139" i="26"/>
  <c r="AA139" i="26" s="1"/>
  <c r="AB139" i="26" s="1"/>
  <c r="AC139" i="26" s="1"/>
  <c r="AD139" i="26" s="1"/>
  <c r="AF139" i="26" s="1"/>
  <c r="U143" i="26"/>
  <c r="AA143" i="26" s="1"/>
  <c r="AB143" i="26" s="1"/>
  <c r="AC143" i="26" s="1"/>
  <c r="AD143" i="26" s="1"/>
  <c r="AF143" i="26" s="1"/>
  <c r="U131" i="26"/>
  <c r="AA131" i="26" s="1"/>
  <c r="AB131" i="26" s="1"/>
  <c r="AC131" i="26" s="1"/>
  <c r="AD131" i="26" s="1"/>
  <c r="AF131" i="26" s="1"/>
  <c r="U138" i="26"/>
  <c r="AA138" i="26" s="1"/>
  <c r="AB138" i="26" s="1"/>
  <c r="AC138" i="26" s="1"/>
  <c r="AD138" i="26" s="1"/>
  <c r="AF138" i="26" s="1"/>
  <c r="U127" i="26"/>
  <c r="AA127" i="26" s="1"/>
  <c r="AB127" i="26" s="1"/>
  <c r="AC127" i="26" s="1"/>
  <c r="AD127" i="26" s="1"/>
  <c r="AF127" i="26" s="1"/>
  <c r="U130" i="26"/>
  <c r="AA130" i="26" s="1"/>
  <c r="AB130" i="26" s="1"/>
  <c r="AC130" i="26" s="1"/>
  <c r="AD130" i="26" s="1"/>
  <c r="AF130" i="26" s="1"/>
  <c r="U128" i="26"/>
  <c r="AA128" i="26" s="1"/>
  <c r="AB128" i="26" s="1"/>
  <c r="AC128" i="26" s="1"/>
  <c r="AD128" i="26" s="1"/>
  <c r="AF128" i="26" s="1"/>
  <c r="U129" i="26"/>
  <c r="AA129" i="26" s="1"/>
  <c r="AB129" i="26" s="1"/>
  <c r="AC129" i="26" s="1"/>
  <c r="AD129" i="26" s="1"/>
  <c r="AF129" i="26" s="1"/>
  <c r="U119" i="26"/>
  <c r="AA119" i="26" s="1"/>
  <c r="AB119" i="26" s="1"/>
  <c r="AC119" i="26" s="1"/>
  <c r="AD119" i="26" s="1"/>
  <c r="AF119" i="26" s="1"/>
  <c r="U125" i="26"/>
  <c r="AA125" i="26" s="1"/>
  <c r="AB125" i="26" s="1"/>
  <c r="AC125" i="26" s="1"/>
  <c r="AD125" i="26" s="1"/>
  <c r="AF125" i="26" s="1"/>
  <c r="U120" i="26"/>
  <c r="AA120" i="26" s="1"/>
  <c r="AB120" i="26" s="1"/>
  <c r="AC120" i="26" s="1"/>
  <c r="AD120" i="26" s="1"/>
  <c r="AF120" i="26" s="1"/>
  <c r="U121" i="26"/>
  <c r="AA121" i="26" s="1"/>
  <c r="AB121" i="26" s="1"/>
  <c r="AC121" i="26" s="1"/>
  <c r="AD121" i="26" s="1"/>
  <c r="AF121" i="26" s="1"/>
  <c r="U124" i="26"/>
  <c r="AA124" i="26" s="1"/>
  <c r="AB124" i="26" s="1"/>
  <c r="AC124" i="26" s="1"/>
  <c r="AD124" i="26" s="1"/>
  <c r="AF124" i="26" s="1"/>
  <c r="U123" i="26"/>
  <c r="AA123" i="26" s="1"/>
  <c r="AB123" i="26" s="1"/>
  <c r="AC123" i="26" s="1"/>
  <c r="AD123" i="26" s="1"/>
  <c r="AF123" i="26" s="1"/>
  <c r="U77" i="26"/>
  <c r="AA77" i="26" s="1"/>
  <c r="AB77" i="26" s="1"/>
  <c r="AC77" i="26" s="1"/>
  <c r="AD77" i="26" s="1"/>
  <c r="AF77" i="26" s="1"/>
  <c r="U78" i="26"/>
  <c r="AA78" i="26" s="1"/>
  <c r="AB78" i="26" s="1"/>
  <c r="AC78" i="26" s="1"/>
  <c r="AD78" i="26" s="1"/>
  <c r="AF78" i="26" s="1"/>
  <c r="V71" i="26"/>
  <c r="V73" i="26"/>
  <c r="V72" i="26"/>
  <c r="V74" i="26"/>
  <c r="U71" i="26"/>
  <c r="U73" i="26"/>
  <c r="U72" i="26"/>
  <c r="AA72" i="26" s="1"/>
  <c r="AB72" i="26" s="1"/>
  <c r="AC72" i="26" s="1"/>
  <c r="AD72" i="26" s="1"/>
  <c r="AF72" i="26" s="1"/>
  <c r="U74" i="26"/>
  <c r="U69" i="26"/>
  <c r="U58" i="26"/>
  <c r="U68" i="26"/>
  <c r="U63" i="26"/>
  <c r="U65" i="26"/>
  <c r="U59" i="26"/>
  <c r="U66" i="26"/>
  <c r="U61" i="26"/>
  <c r="U60" i="26"/>
  <c r="U62" i="26"/>
  <c r="V66" i="26"/>
  <c r="V58" i="26"/>
  <c r="V69" i="26"/>
  <c r="V63" i="26"/>
  <c r="V65" i="26"/>
  <c r="V59" i="26"/>
  <c r="V62" i="26"/>
  <c r="V61" i="26"/>
  <c r="V68" i="26"/>
  <c r="V60" i="26"/>
  <c r="U38" i="26"/>
  <c r="U54" i="26"/>
  <c r="U48" i="26"/>
  <c r="U50" i="26"/>
  <c r="U44" i="26"/>
  <c r="U42" i="26"/>
  <c r="U46" i="26"/>
  <c r="U40" i="26"/>
  <c r="U52" i="26"/>
  <c r="U55" i="26"/>
  <c r="U47" i="26"/>
  <c r="U43" i="26"/>
  <c r="U51" i="26"/>
  <c r="U49" i="26"/>
  <c r="U45" i="26"/>
  <c r="U53" i="26"/>
  <c r="U41" i="26"/>
  <c r="U39" i="26"/>
  <c r="V44" i="26"/>
  <c r="V42" i="26"/>
  <c r="V40" i="26"/>
  <c r="V52" i="26"/>
  <c r="V50" i="26"/>
  <c r="V54" i="26"/>
  <c r="V48" i="26"/>
  <c r="V46" i="26"/>
  <c r="V41" i="26"/>
  <c r="V43" i="26"/>
  <c r="V53" i="26"/>
  <c r="V49" i="26"/>
  <c r="V51" i="26"/>
  <c r="V39" i="26"/>
  <c r="V45" i="26"/>
  <c r="V55" i="26"/>
  <c r="V47" i="26"/>
  <c r="V38" i="26"/>
  <c r="U20" i="26"/>
  <c r="AA20" i="26" s="1"/>
  <c r="AB20" i="26" s="1"/>
  <c r="AC20" i="26" s="1"/>
  <c r="AD20" i="26" s="1"/>
  <c r="AF20" i="26" s="1"/>
  <c r="U33" i="26"/>
  <c r="AA33" i="26" s="1"/>
  <c r="AB33" i="26" s="1"/>
  <c r="AC33" i="26" s="1"/>
  <c r="AD33" i="26" s="1"/>
  <c r="AF33" i="26" s="1"/>
  <c r="U25" i="26"/>
  <c r="AA25" i="26" s="1"/>
  <c r="AB25" i="26" s="1"/>
  <c r="AC25" i="26" s="1"/>
  <c r="AD25" i="26" s="1"/>
  <c r="AF25" i="26" s="1"/>
  <c r="U23" i="26"/>
  <c r="AA23" i="26" s="1"/>
  <c r="AB23" i="26" s="1"/>
  <c r="AC23" i="26" s="1"/>
  <c r="AD23" i="26" s="1"/>
  <c r="AF23" i="26" s="1"/>
  <c r="U27" i="26"/>
  <c r="AA27" i="26" s="1"/>
  <c r="AB27" i="26" s="1"/>
  <c r="AC27" i="26" s="1"/>
  <c r="AD27" i="26" s="1"/>
  <c r="AF27" i="26" s="1"/>
  <c r="U31" i="26"/>
  <c r="AA31" i="26" s="1"/>
  <c r="AB31" i="26" s="1"/>
  <c r="AC31" i="26" s="1"/>
  <c r="AD31" i="26" s="1"/>
  <c r="AF31" i="26" s="1"/>
  <c r="U35" i="26"/>
  <c r="AA35" i="26" s="1"/>
  <c r="AB35" i="26" s="1"/>
  <c r="AC35" i="26" s="1"/>
  <c r="AD35" i="26" s="1"/>
  <c r="AF35" i="26" s="1"/>
  <c r="U29" i="26"/>
  <c r="AA29" i="26" s="1"/>
  <c r="AB29" i="26" s="1"/>
  <c r="AC29" i="26" s="1"/>
  <c r="AD29" i="26" s="1"/>
  <c r="AF29" i="26" s="1"/>
  <c r="U21" i="26"/>
  <c r="AA21" i="26" s="1"/>
  <c r="AB21" i="26" s="1"/>
  <c r="AC21" i="26" s="1"/>
  <c r="AD21" i="26" s="1"/>
  <c r="AF21" i="26" s="1"/>
  <c r="U30" i="26"/>
  <c r="AA30" i="26" s="1"/>
  <c r="AB30" i="26" s="1"/>
  <c r="AC30" i="26" s="1"/>
  <c r="AD30" i="26" s="1"/>
  <c r="AF30" i="26" s="1"/>
  <c r="U24" i="26"/>
  <c r="AA24" i="26" s="1"/>
  <c r="AB24" i="26" s="1"/>
  <c r="AC24" i="26" s="1"/>
  <c r="AD24" i="26" s="1"/>
  <c r="AF24" i="26" s="1"/>
  <c r="U32" i="26"/>
  <c r="AA32" i="26" s="1"/>
  <c r="AB32" i="26" s="1"/>
  <c r="AC32" i="26" s="1"/>
  <c r="AD32" i="26" s="1"/>
  <c r="AF32" i="26" s="1"/>
  <c r="U34" i="26"/>
  <c r="AA34" i="26" s="1"/>
  <c r="AB34" i="26" s="1"/>
  <c r="AC34" i="26" s="1"/>
  <c r="AD34" i="26" s="1"/>
  <c r="AF34" i="26" s="1"/>
  <c r="U28" i="26"/>
  <c r="AA28" i="26" s="1"/>
  <c r="AB28" i="26" s="1"/>
  <c r="AC28" i="26" s="1"/>
  <c r="AD28" i="26" s="1"/>
  <c r="AF28" i="26" s="1"/>
  <c r="U26" i="26"/>
  <c r="AA26" i="26" s="1"/>
  <c r="AB26" i="26" s="1"/>
  <c r="AC26" i="26" s="1"/>
  <c r="AD26" i="26" s="1"/>
  <c r="AF26" i="26" s="1"/>
  <c r="U22" i="26"/>
  <c r="AA22" i="26" s="1"/>
  <c r="AB22" i="26" s="1"/>
  <c r="AC22" i="26" s="1"/>
  <c r="AD22" i="26" s="1"/>
  <c r="AF22" i="26" s="1"/>
  <c r="U15" i="26"/>
  <c r="AA15" i="26" s="1"/>
  <c r="AB15" i="26" s="1"/>
  <c r="AC15" i="26" s="1"/>
  <c r="AD15" i="26" s="1"/>
  <c r="AF15" i="26" s="1"/>
  <c r="U16" i="26"/>
  <c r="AA16" i="26" s="1"/>
  <c r="AB16" i="26" s="1"/>
  <c r="AC16" i="26" s="1"/>
  <c r="AD16" i="26" s="1"/>
  <c r="AF16" i="26" s="1"/>
  <c r="U14" i="26"/>
  <c r="AA14" i="26" s="1"/>
  <c r="U17" i="26"/>
  <c r="AA17" i="26" s="1"/>
  <c r="AB17" i="26" s="1"/>
  <c r="AC17" i="26" s="1"/>
  <c r="AD17" i="26" s="1"/>
  <c r="AF17" i="26" s="1"/>
  <c r="U18" i="26"/>
  <c r="AA18" i="26" s="1"/>
  <c r="AB18" i="26" s="1"/>
  <c r="AC18" i="26" s="1"/>
  <c r="AD18" i="26" s="1"/>
  <c r="AF18" i="26" s="1"/>
  <c r="Q946" i="26"/>
  <c r="S946" i="26"/>
  <c r="R946" i="26"/>
  <c r="AA74" i="26" l="1"/>
  <c r="AB74" i="26" s="1"/>
  <c r="AC74" i="26" s="1"/>
  <c r="AD74" i="26" s="1"/>
  <c r="AF74" i="26" s="1"/>
  <c r="AA71" i="26"/>
  <c r="AB71" i="26" s="1"/>
  <c r="AC71" i="26" s="1"/>
  <c r="AD71" i="26" s="1"/>
  <c r="AF71" i="26" s="1"/>
  <c r="W944" i="26"/>
  <c r="W946" i="26" s="1"/>
  <c r="Y946" i="26"/>
  <c r="AB14" i="26"/>
  <c r="AC14" i="26" s="1"/>
  <c r="AD14" i="26" s="1"/>
  <c r="AA73" i="26"/>
  <c r="AB73" i="26" s="1"/>
  <c r="AC73" i="26" s="1"/>
  <c r="AD73" i="26" s="1"/>
  <c r="AF73" i="26" s="1"/>
  <c r="AA38" i="26"/>
  <c r="AB38" i="26" s="1"/>
  <c r="AC38" i="26" s="1"/>
  <c r="AD38" i="26" s="1"/>
  <c r="AF38" i="26" s="1"/>
  <c r="AA65" i="26"/>
  <c r="AB65" i="26" s="1"/>
  <c r="AC65" i="26" s="1"/>
  <c r="AD65" i="26" s="1"/>
  <c r="AF65" i="26" s="1"/>
  <c r="AA61" i="26"/>
  <c r="AB61" i="26" s="1"/>
  <c r="AC61" i="26" s="1"/>
  <c r="AD61" i="26" s="1"/>
  <c r="AF61" i="26" s="1"/>
  <c r="AA58" i="26"/>
  <c r="AB58" i="26" s="1"/>
  <c r="AC58" i="26" s="1"/>
  <c r="AD58" i="26" s="1"/>
  <c r="AF58" i="26" s="1"/>
  <c r="AA50" i="26"/>
  <c r="AB50" i="26" s="1"/>
  <c r="AC50" i="26" s="1"/>
  <c r="AD50" i="26" s="1"/>
  <c r="AF50" i="26" s="1"/>
  <c r="AA69" i="26"/>
  <c r="AB69" i="26" s="1"/>
  <c r="AC69" i="26" s="1"/>
  <c r="AD69" i="26" s="1"/>
  <c r="AF69" i="26" s="1"/>
  <c r="AA53" i="26"/>
  <c r="AB53" i="26" s="1"/>
  <c r="AC53" i="26" s="1"/>
  <c r="AD53" i="26" s="1"/>
  <c r="AF53" i="26" s="1"/>
  <c r="AA66" i="26"/>
  <c r="AB66" i="26" s="1"/>
  <c r="AC66" i="26" s="1"/>
  <c r="AD66" i="26" s="1"/>
  <c r="AF66" i="26" s="1"/>
  <c r="AA60" i="26"/>
  <c r="AB60" i="26" s="1"/>
  <c r="AC60" i="26" s="1"/>
  <c r="AD60" i="26" s="1"/>
  <c r="AF60" i="26" s="1"/>
  <c r="AA68" i="26"/>
  <c r="AB68" i="26" s="1"/>
  <c r="AC68" i="26" s="1"/>
  <c r="AD68" i="26" s="1"/>
  <c r="AF68" i="26" s="1"/>
  <c r="AA40" i="26"/>
  <c r="AB40" i="26" s="1"/>
  <c r="AC40" i="26" s="1"/>
  <c r="AD40" i="26" s="1"/>
  <c r="AF40" i="26" s="1"/>
  <c r="AA62" i="26"/>
  <c r="AB62" i="26" s="1"/>
  <c r="AC62" i="26" s="1"/>
  <c r="AD62" i="26" s="1"/>
  <c r="AF62" i="26" s="1"/>
  <c r="AA59" i="26"/>
  <c r="AB59" i="26" s="1"/>
  <c r="AC59" i="26" s="1"/>
  <c r="AD59" i="26" s="1"/>
  <c r="AF59" i="26" s="1"/>
  <c r="AA63" i="26"/>
  <c r="AB63" i="26" s="1"/>
  <c r="AC63" i="26" s="1"/>
  <c r="AD63" i="26" s="1"/>
  <c r="AF63" i="26" s="1"/>
  <c r="AA45" i="26"/>
  <c r="AB45" i="26" s="1"/>
  <c r="AC45" i="26" s="1"/>
  <c r="AD45" i="26" s="1"/>
  <c r="AF45" i="26" s="1"/>
  <c r="AA46" i="26"/>
  <c r="AB46" i="26" s="1"/>
  <c r="AC46" i="26" s="1"/>
  <c r="AD46" i="26" s="1"/>
  <c r="AF46" i="26" s="1"/>
  <c r="AA52" i="26"/>
  <c r="AB52" i="26" s="1"/>
  <c r="AC52" i="26" s="1"/>
  <c r="AD52" i="26" s="1"/>
  <c r="AF52" i="26" s="1"/>
  <c r="AA43" i="26"/>
  <c r="AB43" i="26" s="1"/>
  <c r="AC43" i="26" s="1"/>
  <c r="AD43" i="26" s="1"/>
  <c r="AF43" i="26" s="1"/>
  <c r="AA48" i="26"/>
  <c r="AB48" i="26" s="1"/>
  <c r="AC48" i="26" s="1"/>
  <c r="AD48" i="26" s="1"/>
  <c r="AF48" i="26" s="1"/>
  <c r="AA47" i="26"/>
  <c r="AB47" i="26" s="1"/>
  <c r="AC47" i="26" s="1"/>
  <c r="AD47" i="26" s="1"/>
  <c r="AF47" i="26" s="1"/>
  <c r="AA39" i="26"/>
  <c r="AB39" i="26" s="1"/>
  <c r="AC39" i="26" s="1"/>
  <c r="AD39" i="26" s="1"/>
  <c r="AF39" i="26" s="1"/>
  <c r="AA49" i="26"/>
  <c r="AB49" i="26" s="1"/>
  <c r="AC49" i="26" s="1"/>
  <c r="AD49" i="26" s="1"/>
  <c r="AF49" i="26" s="1"/>
  <c r="AA55" i="26"/>
  <c r="AB55" i="26" s="1"/>
  <c r="AC55" i="26" s="1"/>
  <c r="AD55" i="26" s="1"/>
  <c r="AF55" i="26" s="1"/>
  <c r="AA42" i="26"/>
  <c r="AB42" i="26" s="1"/>
  <c r="AC42" i="26" s="1"/>
  <c r="AD42" i="26" s="1"/>
  <c r="AF42" i="26" s="1"/>
  <c r="AA54" i="26"/>
  <c r="AB54" i="26" s="1"/>
  <c r="AC54" i="26" s="1"/>
  <c r="AD54" i="26" s="1"/>
  <c r="AF54" i="26" s="1"/>
  <c r="AA41" i="26"/>
  <c r="AB41" i="26" s="1"/>
  <c r="AC41" i="26" s="1"/>
  <c r="AD41" i="26" s="1"/>
  <c r="AF41" i="26" s="1"/>
  <c r="AA51" i="26"/>
  <c r="AB51" i="26" s="1"/>
  <c r="AC51" i="26" s="1"/>
  <c r="AD51" i="26" s="1"/>
  <c r="AF51" i="26" s="1"/>
  <c r="AA44" i="26"/>
  <c r="AB44" i="26" s="1"/>
  <c r="AC44" i="26" s="1"/>
  <c r="AD44" i="26" s="1"/>
  <c r="AF44" i="26" s="1"/>
  <c r="U944" i="26"/>
  <c r="V944" i="26"/>
  <c r="AF14" i="26" l="1"/>
  <c r="AD947" i="26"/>
  <c r="AD951" i="26" s="1"/>
  <c r="AD952" i="26" s="1"/>
  <c r="V946" i="26"/>
  <c r="AA944" i="26"/>
  <c r="AA947" i="26"/>
  <c r="AA951" i="26" s="1"/>
  <c r="AA952" i="26" s="1"/>
  <c r="U946" i="26"/>
  <c r="M1098" i="26"/>
  <c r="N1098" i="26" s="1"/>
  <c r="AA953" i="26" l="1"/>
  <c r="AA946" i="26"/>
  <c r="AB947" i="26"/>
  <c r="AB951" i="26" s="1"/>
  <c r="AB952" i="26" s="1"/>
  <c r="AB944" i="26"/>
  <c r="AB946" i="26" s="1"/>
  <c r="AF752" i="26" l="1"/>
  <c r="AF753" i="26"/>
  <c r="AF705" i="26"/>
  <c r="AF706" i="26"/>
  <c r="AF440" i="26"/>
  <c r="AF441" i="26"/>
  <c r="AF405" i="26"/>
  <c r="AF406" i="26"/>
  <c r="AF352" i="26"/>
  <c r="AF353" i="26"/>
  <c r="AF235" i="26"/>
  <c r="AF236" i="26"/>
  <c r="AF176" i="26"/>
  <c r="AF177" i="26"/>
  <c r="AB953" i="26"/>
  <c r="AF947" i="26" l="1"/>
  <c r="AF951" i="26"/>
  <c r="AF952" i="26"/>
  <c r="AD944" i="26"/>
  <c r="AD953" i="26" l="1"/>
  <c r="AF953" i="26" s="1"/>
  <c r="H177" i="26" l="1"/>
</calcChain>
</file>

<file path=xl/sharedStrings.xml><?xml version="1.0" encoding="utf-8"?>
<sst xmlns="http://schemas.openxmlformats.org/spreadsheetml/2006/main" count="2758" uniqueCount="1502">
  <si>
    <t>Оборудование</t>
  </si>
  <si>
    <t>Подготовка территории строительства</t>
  </si>
  <si>
    <t>ОСР-01-10</t>
  </si>
  <si>
    <t>КИС 1 этап</t>
  </si>
  <si>
    <t>Устройство земляного полотна</t>
  </si>
  <si>
    <t>Раздел 2. Дорожная одежда</t>
  </si>
  <si>
    <t>Раздел 4. Водопропускные трубы</t>
  </si>
  <si>
    <t>Малые искусственные сооружения</t>
  </si>
  <si>
    <t>Шумозащитное остекление</t>
  </si>
  <si>
    <t>ОСР-02-01</t>
  </si>
  <si>
    <t>ОСР-02-02</t>
  </si>
  <si>
    <t>ОСР-02-03</t>
  </si>
  <si>
    <t>ОСР-02-04</t>
  </si>
  <si>
    <t>ОСР-02-05</t>
  </si>
  <si>
    <t>ОСР-02-06</t>
  </si>
  <si>
    <t>ОСР-02-07</t>
  </si>
  <si>
    <t>ОСР-02-08</t>
  </si>
  <si>
    <t>ОСР-02-10</t>
  </si>
  <si>
    <t>ОСР-02-11</t>
  </si>
  <si>
    <t>ОСР-02-12</t>
  </si>
  <si>
    <t>ОСР-02-13</t>
  </si>
  <si>
    <t>ОСР-02-14</t>
  </si>
  <si>
    <t>ОСР-02-15</t>
  </si>
  <si>
    <t>ОСР-02-16</t>
  </si>
  <si>
    <t>ОСР-02-18</t>
  </si>
  <si>
    <t>ОСР-02-19</t>
  </si>
  <si>
    <t>ОСР-04-01</t>
  </si>
  <si>
    <t>ОСР-04-02</t>
  </si>
  <si>
    <t>ОСР-04-03</t>
  </si>
  <si>
    <t>ОСР-04-04</t>
  </si>
  <si>
    <t>ОСР-06-01</t>
  </si>
  <si>
    <t>ОСР-06-02</t>
  </si>
  <si>
    <t>Св.смета на ПИР</t>
  </si>
  <si>
    <t>ОСР-09-04</t>
  </si>
  <si>
    <t>ОСР-02-09</t>
  </si>
  <si>
    <t>Строительство автомобильной дороги в обход г. Симферополя на участке Донское – Перевальное. 1 этап. Км 0+000 – км 15+800</t>
  </si>
  <si>
    <t xml:space="preserve">  ВЕДОМОСТЬ ОБЪЕМОВ И СТОИМОСТИ РАБОТ</t>
  </si>
  <si>
    <t>Коды</t>
  </si>
  <si>
    <t>Наименование глав, объектов, работ и затрат</t>
  </si>
  <si>
    <t>Ед. изм.</t>
  </si>
  <si>
    <t>Кол-во</t>
  </si>
  <si>
    <t>Стоимость единичной расценки в базисном уровне цен
в ур. НР и СП (без НДС), руб.</t>
  </si>
  <si>
    <t>Стоимость по ЛСР в базисном уровне цен
в ур. НР и СП (без НДС), руб.</t>
  </si>
  <si>
    <t>Сверка с ОСР</t>
  </si>
  <si>
    <t>проверка</t>
  </si>
  <si>
    <t>Стоимость работ в текущем уровне цен
в ур. НР и СП 
(без НДС),
 руб.</t>
  </si>
  <si>
    <t>ВрЗиС - 4,1%, 10,1% (для мостов и путепроводов длиной более 50 м)</t>
  </si>
  <si>
    <t>Стоимость работ с учетом ВрЗиС</t>
  </si>
  <si>
    <t>Затраты на Вахтовый метод</t>
  </si>
  <si>
    <t>Затраты связанные с перевозкой рабочих свыше 3 км</t>
  </si>
  <si>
    <t>Дополнительные затраты при производстве работ в зимнее время</t>
  </si>
  <si>
    <t>Затраты связанные с перевозкой негабаритных и тяжеловесных грузов</t>
  </si>
  <si>
    <t>Оказание услуг постовой охраны транспортной безопасностипо защите объектов транспортной инфраструктуры</t>
  </si>
  <si>
    <t>Начальная (максимальная) цена контракта (с учетом индекса прогнозной инфляции на период выполнения работ)</t>
  </si>
  <si>
    <t>Укрупненная расценка в текущих ценах руб.</t>
  </si>
  <si>
    <t>ИТОГО стоимость работ с учетом прочих затрат в текущих ценах  руб</t>
  </si>
  <si>
    <t>1</t>
  </si>
  <si>
    <t>Глава 1. Подготовка территории строительства</t>
  </si>
  <si>
    <t>1.1</t>
  </si>
  <si>
    <t>Разбивочные работы</t>
  </si>
  <si>
    <t>ОСР-01-01</t>
  </si>
  <si>
    <t>1.1.1</t>
  </si>
  <si>
    <t>Восстановление и закрепление трассы автомобильной дороги</t>
  </si>
  <si>
    <t>км</t>
  </si>
  <si>
    <t>1.2</t>
  </si>
  <si>
    <t>1.2.1</t>
  </si>
  <si>
    <t>Валка деревьев (валка,трелевка,разделка,корчевка пней,перевозка)</t>
  </si>
  <si>
    <t>шт</t>
  </si>
  <si>
    <t>га</t>
  </si>
  <si>
    <t>1.2.2</t>
  </si>
  <si>
    <t>м3</t>
  </si>
  <si>
    <t>Разборка элементов авмомобильной дороги</t>
  </si>
  <si>
    <t>м2</t>
  </si>
  <si>
    <t>Временные объездные дороги</t>
  </si>
  <si>
    <t>ОСР-01-04</t>
  </si>
  <si>
    <t>Устройство временных объездных дорог</t>
  </si>
  <si>
    <t>Разборка временных объездных дорог</t>
  </si>
  <si>
    <t>Разборка земляного полотна</t>
  </si>
  <si>
    <t>1.6</t>
  </si>
  <si>
    <t>Переустройство коммуникаций</t>
  </si>
  <si>
    <t>1.6.1</t>
  </si>
  <si>
    <t>ОСР-01-05</t>
  </si>
  <si>
    <t>м.п.</t>
  </si>
  <si>
    <t>комплекс</t>
  </si>
  <si>
    <t>ОСР-01-07</t>
  </si>
  <si>
    <t>ОСР-01-08</t>
  </si>
  <si>
    <t>Переустройство электрических сетей 0,4-10кВ</t>
  </si>
  <si>
    <t>Переустройство электрических сетей 35-110кВ</t>
  </si>
  <si>
    <t>Переустройство электрических сетей 330кВ</t>
  </si>
  <si>
    <t>ОСР-01-09</t>
  </si>
  <si>
    <t>Переустройство сетей связи</t>
  </si>
  <si>
    <t>1.7</t>
  </si>
  <si>
    <t>ОСР-01-11</t>
  </si>
  <si>
    <t>1.8</t>
  </si>
  <si>
    <t>Рекультивация земель</t>
  </si>
  <si>
    <t>1.8.1</t>
  </si>
  <si>
    <t>1.9</t>
  </si>
  <si>
    <t>Очистка местости от взрывоопасных предметов</t>
  </si>
  <si>
    <t>1.9.1</t>
  </si>
  <si>
    <t>Обследование и очистка местности от взрывоопасных предметов</t>
  </si>
  <si>
    <t>1.10</t>
  </si>
  <si>
    <t>Компенсационные затраты</t>
  </si>
  <si>
    <t>1.10.1</t>
  </si>
  <si>
    <t xml:space="preserve">Работы по изъятию и оформлению прав на земельные участки и объекты недвижимости </t>
  </si>
  <si>
    <t>1.12</t>
  </si>
  <si>
    <t>Охрана объектов культурного наследия</t>
  </si>
  <si>
    <t>1.12.1</t>
  </si>
  <si>
    <t>Проведение археологических полевых работ и наблюдений (НДС не облагается)</t>
  </si>
  <si>
    <t>2</t>
  </si>
  <si>
    <t>Глава 2. Основные объекты строительства</t>
  </si>
  <si>
    <t>2.1</t>
  </si>
  <si>
    <t>Раздел 1. Земляное полото</t>
  </si>
  <si>
    <t>2.1.1</t>
  </si>
  <si>
    <t>Устройство выемки</t>
  </si>
  <si>
    <t>2.1.2</t>
  </si>
  <si>
    <t>Устройство нижнего слоя основания из щебеночно-песчаной смеси, толщиной 0,55 м</t>
  </si>
  <si>
    <t>2.3…2.4</t>
  </si>
  <si>
    <t>2.3</t>
  </si>
  <si>
    <t>Сооружение мостов в теле основного хода</t>
  </si>
  <si>
    <t>2.3.1</t>
  </si>
  <si>
    <t>2.3.1.1</t>
  </si>
  <si>
    <t>Устройство крайних опор</t>
  </si>
  <si>
    <t>2.3.1.1.1</t>
  </si>
  <si>
    <t>Погружение ж/б свай</t>
  </si>
  <si>
    <t>2.3.2</t>
  </si>
  <si>
    <t>2.3.2.1</t>
  </si>
  <si>
    <t>2.3.2.1.1</t>
  </si>
  <si>
    <t>2.5</t>
  </si>
  <si>
    <t>2.5.1</t>
  </si>
  <si>
    <t>2.5.1.1</t>
  </si>
  <si>
    <t>Устройство водопропускных труб металлических гофрированных одноочковых, диаметром 1,0 м</t>
  </si>
  <si>
    <t>2.5.1.1.2</t>
  </si>
  <si>
    <t>Укладка защитных лотков</t>
  </si>
  <si>
    <t>2.6…2.7</t>
  </si>
  <si>
    <t>Раздел 5. Транспортые развязки</t>
  </si>
  <si>
    <t>2.6</t>
  </si>
  <si>
    <t>2.6.1</t>
  </si>
  <si>
    <t>2.6.1.1</t>
  </si>
  <si>
    <t>2.6.1.1.1</t>
  </si>
  <si>
    <t>2.6.2</t>
  </si>
  <si>
    <t>2.6.2.1</t>
  </si>
  <si>
    <t>2.6.2.1.1</t>
  </si>
  <si>
    <t>2.6.3</t>
  </si>
  <si>
    <t>2.6.3.1</t>
  </si>
  <si>
    <t>2.6.3.1.1</t>
  </si>
  <si>
    <t>2.7</t>
  </si>
  <si>
    <t>Транспортные развязки</t>
  </si>
  <si>
    <t>2.7.1</t>
  </si>
  <si>
    <t>2.7.1.1</t>
  </si>
  <si>
    <t>Земляное полотно</t>
  </si>
  <si>
    <t>2.7.1.1.1</t>
  </si>
  <si>
    <t>2.7.2</t>
  </si>
  <si>
    <t>2.7.2.1</t>
  </si>
  <si>
    <t>Земляное полото</t>
  </si>
  <si>
    <t>2.7.2.1.1</t>
  </si>
  <si>
    <t>Снятие растительного грунта</t>
  </si>
  <si>
    <t>Устройство слоя основания из щебеночно-песчаной смеси, толщиной 0,25 м</t>
  </si>
  <si>
    <t>ОСР-02-17</t>
  </si>
  <si>
    <t>2.8</t>
  </si>
  <si>
    <t>2.8.1</t>
  </si>
  <si>
    <t>2.8.1.1</t>
  </si>
  <si>
    <t>2.8.1.1.1</t>
  </si>
  <si>
    <t>2.8.2</t>
  </si>
  <si>
    <t>2.8.2.1</t>
  </si>
  <si>
    <t>2.8.2.1.1</t>
  </si>
  <si>
    <t>2.8.3</t>
  </si>
  <si>
    <t>2.8.3.1</t>
  </si>
  <si>
    <t>2.8.3.1.1</t>
  </si>
  <si>
    <t>2.10</t>
  </si>
  <si>
    <t>2.10.1.1</t>
  </si>
  <si>
    <t>Раздел 7. Обстановка дороги, организация и безопасность движения</t>
  </si>
  <si>
    <t>2.11</t>
  </si>
  <si>
    <t>Организация движения на период ввода объекта в эксплуатацию</t>
  </si>
  <si>
    <t>2.12</t>
  </si>
  <si>
    <t>Площадки отдыха</t>
  </si>
  <si>
    <t>2.12.1</t>
  </si>
  <si>
    <t>2.12.1.1</t>
  </si>
  <si>
    <t>2.13</t>
  </si>
  <si>
    <t>Раздел 8. Природоохранные мероприятия</t>
  </si>
  <si>
    <t>2.13.1</t>
  </si>
  <si>
    <t>Шумозащитные экраны</t>
  </si>
  <si>
    <t>Устройство фундаментов шумозащитных экранов</t>
  </si>
  <si>
    <t>Глава 4. Объекты энергетического хозяйства</t>
  </si>
  <si>
    <t>Наружное электроосвещение</t>
  </si>
  <si>
    <t>Внешнее электроснабжение</t>
  </si>
  <si>
    <t>Прокладка кабелей 10 кВ от ЛЭП-10кВ ГУП РК "Крымэнерго" до 
ТП-1</t>
  </si>
  <si>
    <t>Трансформаторные подстанции</t>
  </si>
  <si>
    <t>Площадки под ТП</t>
  </si>
  <si>
    <t>5</t>
  </si>
  <si>
    <t>Глава 5. Объекты транспортного хозяйства и связи</t>
  </si>
  <si>
    <t>5.1</t>
  </si>
  <si>
    <t>Транспортная безопасность на период строительства и эксплуатации</t>
  </si>
  <si>
    <t>ОСР-05-01</t>
  </si>
  <si>
    <t>5.1.1</t>
  </si>
  <si>
    <t>6</t>
  </si>
  <si>
    <t>Глава 6. Наружные сети и сооружения водоснабжения, водоотведения, теплоснабжения и газоснабжения</t>
  </si>
  <si>
    <t>6.1</t>
  </si>
  <si>
    <t>Устройство локальных очистых сооружений</t>
  </si>
  <si>
    <t>6.1.1</t>
  </si>
  <si>
    <t>6.2</t>
  </si>
  <si>
    <t>Ливневая канализация</t>
  </si>
  <si>
    <t>6.2.1</t>
  </si>
  <si>
    <t>6.3</t>
  </si>
  <si>
    <t>Устройство площадок под ЛОС</t>
  </si>
  <si>
    <t>ОСР-06-03</t>
  </si>
  <si>
    <t>6.3.1</t>
  </si>
  <si>
    <t>7</t>
  </si>
  <si>
    <t>Глава 7. Благоустройство и озеленение территории</t>
  </si>
  <si>
    <t>7.1</t>
  </si>
  <si>
    <t>ОСР-07-01</t>
  </si>
  <si>
    <t>9</t>
  </si>
  <si>
    <t xml:space="preserve">Глава 9. Прочие работы и затраты </t>
  </si>
  <si>
    <t>9.1</t>
  </si>
  <si>
    <t>Затраты на пусконаладочные работы  (в холостую, без нагрузки)</t>
  </si>
  <si>
    <t>9.1.1</t>
  </si>
  <si>
    <t>9.2</t>
  </si>
  <si>
    <t>Мониторинг на период строительства</t>
  </si>
  <si>
    <t>9.2.1</t>
  </si>
  <si>
    <t>9.3</t>
  </si>
  <si>
    <t>9.3.1</t>
  </si>
  <si>
    <t>9.5</t>
  </si>
  <si>
    <t>12</t>
  </si>
  <si>
    <t>Глава 12. Публичный технологический и ценовой аудит, аудит проектой документации, проектые и изыскательские работы</t>
  </si>
  <si>
    <t>12.1</t>
  </si>
  <si>
    <t>Проекто-изыскательские работы</t>
  </si>
  <si>
    <t>12.1.1</t>
  </si>
  <si>
    <t>Разработка рабочей документации</t>
  </si>
  <si>
    <t>Итого:</t>
  </si>
  <si>
    <t>руб.</t>
  </si>
  <si>
    <t xml:space="preserve">Непредвиденные </t>
  </si>
  <si>
    <t>в том числе: сумма непредвиденных,облагаемая НДС</t>
  </si>
  <si>
    <t>в том числе: сумма непредвиденных, не облагаемых НДС</t>
  </si>
  <si>
    <t>Итого  с учётом непредвиденных:</t>
  </si>
  <si>
    <t>НДС 20% (кроме п. 1.12.1)</t>
  </si>
  <si>
    <t>ВСЕГО с учётом НДС</t>
  </si>
  <si>
    <t>ОСР-01-02</t>
  </si>
  <si>
    <t>ОСР-01-03</t>
  </si>
  <si>
    <t>Снос (демонтаж) зданий и сооружений</t>
  </si>
  <si>
    <t>ОСР-01-12</t>
  </si>
  <si>
    <t>Мост на ПК 133+04</t>
  </si>
  <si>
    <t>Путепровод через а/д III кат. на ПК 92+27</t>
  </si>
  <si>
    <t>Путепровод через а/д "Таврида" на съезде №2 транспортной развязки №1 на ПК 5+17</t>
  </si>
  <si>
    <t>Путепровод тоннельного типа на съезде в с. Мазанка через съезд №1 транспортной развязки №1 на ПК 2+42</t>
  </si>
  <si>
    <t>Сооружения в составе транспортной развязки №1</t>
  </si>
  <si>
    <t>Путепровод в составе транспортной развязки №1 на ПК 9+45</t>
  </si>
  <si>
    <t xml:space="preserve">Транспортная развязка №1 на ПК 0+00 </t>
  </si>
  <si>
    <t>Транспортная развязка №2 на ПК 92+31</t>
  </si>
  <si>
    <t>Связь для разобщенных территорий на ПК 148+46</t>
  </si>
  <si>
    <t>Пересечение с сельскохозяйственными проездами под основным ходом</t>
  </si>
  <si>
    <t xml:space="preserve">Пересечение с сельскохозяйственными проездами над основным ходом </t>
  </si>
  <si>
    <t>Путепровод для связи разобщенных территорий на ПК 148+47</t>
  </si>
  <si>
    <t>2.11.1.1</t>
  </si>
  <si>
    <t>Путепровод для проезда сельскохозяйственной техники на ПК 46+52</t>
  </si>
  <si>
    <t>ОСР-09-05</t>
  </si>
  <si>
    <t>ОСР-09-13</t>
  </si>
  <si>
    <t>Статическое испытание свай</t>
  </si>
  <si>
    <t>ОСР-12-03</t>
  </si>
  <si>
    <t>ИССО строект</t>
  </si>
  <si>
    <t xml:space="preserve">АД </t>
  </si>
  <si>
    <t>СЕТИ</t>
  </si>
  <si>
    <t xml:space="preserve">Затраты на перебазировку строительной техники </t>
  </si>
  <si>
    <t>Оборудование в текущих ценах 4 квартала 2021г.</t>
  </si>
  <si>
    <t>лист 16-18 таблица 4</t>
  </si>
  <si>
    <t>Корчевка кустарника и мелколесья</t>
  </si>
  <si>
    <t>Демонтаж шумозащитных экранов</t>
  </si>
  <si>
    <t>Устройство траншеи под водоотвод поверхностного стока</t>
  </si>
  <si>
    <t>1.2.3</t>
  </si>
  <si>
    <t>1.2.4</t>
  </si>
  <si>
    <t>1.2.5</t>
  </si>
  <si>
    <t>ОАН «Курган» западнее с. Мазанка</t>
  </si>
  <si>
    <t>Курган 1  ОАН «Группа из 2-х курганов» западнее с. Мазанка</t>
  </si>
  <si>
    <t>Курган 2  ОАН «Группа из 2-х курганов» западнее с. Мазанка</t>
  </si>
  <si>
    <t>Курган 1  ОАН «Группа из 2-х курганов» юго-западнее с. Дружное</t>
  </si>
  <si>
    <t>Курган 2  ОАН «Группа из 2-х курганов» юго-западнее с. Дружное</t>
  </si>
  <si>
    <t>Курган 1  ОАН «Группа из 3-х курганов» пп 1936, уч. №4037</t>
  </si>
  <si>
    <t>Курган 2  ОАН «Группа из 3-х курганов» пп 1936, уч. №4037</t>
  </si>
  <si>
    <t>Курган 5 ОАН «Группа из 11-ти курганов» пп 1938, уч. №4040</t>
  </si>
  <si>
    <t>Курган 6 ОАН «Группа из 11-ти курганов» пп 1938, уч. №4040</t>
  </si>
  <si>
    <t>Курган 7 ОАН «Группа из 11-ти курганов» пп 1938, уч. №4040</t>
  </si>
  <si>
    <t>Кургана 2 ОАН «Группа из 2-х курганов», п/п 1971, уч. №4076</t>
  </si>
  <si>
    <t>ОАН «Курган», п/п 1933, уч. №4034</t>
  </si>
  <si>
    <t xml:space="preserve">Кургана 1  ОАН «Группа из 3-х курганов» к востоку от с. Денисовка </t>
  </si>
  <si>
    <t>Кургана 2  ОАН «Группа из 3-х курганов» к востоку от с. Денисовка</t>
  </si>
  <si>
    <t xml:space="preserve">Кургана 3  ОАН «Группа из 3-х курганов» к востоку от с. Денисовка  </t>
  </si>
  <si>
    <t xml:space="preserve">Курган 1ОАН «Группа из 3-х курганов» северо-восточнее с. Строгоновка </t>
  </si>
  <si>
    <t xml:space="preserve">Курган 2 ОАН «Группа из 3-х курганов» северо-восточнее с. Строгоновка </t>
  </si>
  <si>
    <t>Курган 1 ОАН «Группа из 4-х курганов» пп 1700, уч. №3825  м</t>
  </si>
  <si>
    <t xml:space="preserve">Курган 2 ОАН «Группа из 4-х курганов» пп 1700, уч. №3825  </t>
  </si>
  <si>
    <t xml:space="preserve">Курган 3 ОАН «Группа из 4-х курганов» пп 1700, уч. №3825 </t>
  </si>
  <si>
    <t>Курган 4 ОАН «Группа из 4-х курганов» пп 1700, уч. №3825</t>
  </si>
  <si>
    <t xml:space="preserve">Курган 1 ОАН «Группа из 4-х курганов юго-западнее села Красновка» </t>
  </si>
  <si>
    <t>Курган 2 ОАН «Группа из 4-х курганов юго-западнее села Красновка»</t>
  </si>
  <si>
    <t>Курган 3 ОАН «Группа из 4-х курганов юго-западнее села Красновка»</t>
  </si>
  <si>
    <t xml:space="preserve">Курган 4 ОАН «Группа из 4-х курганов юго-западнее села Красновка» </t>
  </si>
  <si>
    <t xml:space="preserve">Курган 3 ОАН «Группа из 7-ми курганов Малый Салгир» </t>
  </si>
  <si>
    <t xml:space="preserve">Курган 5 ОАН «Группа из 7-ми курганов Малый Салгир» </t>
  </si>
  <si>
    <t xml:space="preserve">Курган 6 ОАН «Группа из 7-ми курганов Малый Салгир» </t>
  </si>
  <si>
    <t xml:space="preserve">Курганов 7 ОАН «Группа из 7-ми курганов Малый Салгир» </t>
  </si>
  <si>
    <t>Курган 1 ОАН «Группа из 4-х курганов» п/п 1774, уч. №3871</t>
  </si>
  <si>
    <t xml:space="preserve">Курган 2 ОАН «Группа из 4-х курганов» п/п 1774, уч. №3871  </t>
  </si>
  <si>
    <t>Курган 3 ОАН «Группа из 4-х курганов» п/п 1774, уч. №3871</t>
  </si>
  <si>
    <t>Фрезерование асфальтобетонного покрытия, толщиной 0,21 м</t>
  </si>
  <si>
    <t>Фрезерование асфальтобетонного покрытия, толщиной 0,13 м</t>
  </si>
  <si>
    <t>Разборка щебеночного основания</t>
  </si>
  <si>
    <t>Разборка асфальтобетонного покрытия</t>
  </si>
  <si>
    <t xml:space="preserve">Разборка щебеночного покрытия </t>
  </si>
  <si>
    <t>Разборка обочины из щебня</t>
  </si>
  <si>
    <t>Разборка гравийного покрытия</t>
  </si>
  <si>
    <t>Разборка существующей металлической трубы</t>
  </si>
  <si>
    <t>Разборка существующего укрепления габионными конструкциями</t>
  </si>
  <si>
    <t>Разборка бетонного укрепления выходного отверстия</t>
  </si>
  <si>
    <t>т</t>
  </si>
  <si>
    <t xml:space="preserve">Демонтаж дорожных знаков  </t>
  </si>
  <si>
    <t>Демонтаж ограждениий</t>
  </si>
  <si>
    <t>Демонтаж водоотводных лотков</t>
  </si>
  <si>
    <t>Демонтаж сигнальных столбиков</t>
  </si>
  <si>
    <t xml:space="preserve">Разборка существующих железобетонных труб, диаметром 1,0 м </t>
  </si>
  <si>
    <t>Разборка существующих железобетонных труб, диаметром 0,5 м</t>
  </si>
  <si>
    <t>Переустройство сетей связи АО «Крымтелеком»  ПК 1+22,78</t>
  </si>
  <si>
    <t>Переустройство сетей связи ООО «К-телеком» ПК 1+22,78</t>
  </si>
  <si>
    <t>Переустройство сетей связи ООО «Инфострой» ПК 1+22,78</t>
  </si>
  <si>
    <t>Переустройство сетей связи АО «Крымтелеком» ПК 3+38,47</t>
  </si>
  <si>
    <t>Переустройство сетей связи ООО «Ардинвест» ПК 9+18,58</t>
  </si>
  <si>
    <t>Переустройство сетей связи ООО «КИТ»    ПК 9+18,58 – ПК 46+81,53</t>
  </si>
  <si>
    <t>Переустройство сетей связи ООО «Нэтвижн» ПК 12+79,18</t>
  </si>
  <si>
    <t>Переустройство сетей связи ООО «Миранда-медиа» ПК 26+11,56</t>
  </si>
  <si>
    <t>Переустройство сетей связи АО «Крымтелеком» ПК 92+22,91</t>
  </si>
  <si>
    <t>Переустройство сетей связи ИП Андреенков Н.А. ПК 92+39,05</t>
  </si>
  <si>
    <t>Переустройство сетей связи ООО «Инфотехстрой»  ПК 92+39,05</t>
  </si>
  <si>
    <t>Переустройство сетей связи ООО «КИТ» ПК 92+39,05</t>
  </si>
  <si>
    <t>Переустройство сетей связи ООО «Инфострой» ПК 92+39,05</t>
  </si>
  <si>
    <t>Переустройство сетей связи ООО «КИТ» ПК 92+50,45</t>
  </si>
  <si>
    <t>Переустройство сетей связи ООО «Технопромэкспорт» ПК 95+52,88</t>
  </si>
  <si>
    <t>Переустройство сетей связи ООО «К-Телеком» ПК 110+11,79</t>
  </si>
  <si>
    <t>Переустройство сетей связи ООО «Инфострой» ПК 110+11,79</t>
  </si>
  <si>
    <t>Переустройство сетей связи АО «Крымтелеком» ПК 136+3,6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</si>
  <si>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</si>
  <si>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</si>
  <si>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</si>
  <si>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</si>
  <si>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</si>
  <si>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</si>
  <si>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</si>
  <si>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</si>
  <si>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</si>
  <si>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</si>
  <si>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</si>
  <si>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</si>
  <si>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</si>
  <si>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</si>
  <si>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</si>
  <si>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</si>
  <si>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</si>
  <si>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1.6.2</t>
  </si>
  <si>
    <t>Переустройства ЛЭП 6 кВ, ООО ВО "Технопромэкспорт" 
ПК91-ПК98</t>
  </si>
  <si>
    <t>Переустройства ВЛ 10 кВ, ГУП РК "Черноморнефтегаз" 
ПК0-ПК5</t>
  </si>
  <si>
    <t>Переустройства ВЛ 10 кВ  ГУП РК "Крымэнерго"
ПК0-ПК5</t>
  </si>
  <si>
    <t>Переустройства ВЛ 10 кВ ГУП РК "Крымэнерго" 
ПК26+24,0</t>
  </si>
  <si>
    <t>Переустройства ВЛ 10 кВ ГУП РК "Крымэнерго" 
ПК68+43,0</t>
  </si>
  <si>
    <t>Переустройства ВЛ 10 кВ  ГУП РК "Крымэнерго" 
ПК97+64,1</t>
  </si>
  <si>
    <t>м</t>
  </si>
  <si>
    <t xml:space="preserve">Переустройство ВЛ 110 кВ Симферопольская - Ялта
 ГУП РК "Крымэнерго" ПК147+47,28 </t>
  </si>
  <si>
    <t>Переустройство ВЛ 220 кВ (в габаритах 330 кВ) Симферопольская - Кафа II цепь
 ГУП РК "Крымэнерго" ПК82+12,78</t>
  </si>
  <si>
    <t xml:space="preserve">Переустройство ВЛ 220 кВ Симферопольская - Кафа I цепь
 ГУП РК "Крымэнерго" ПК87+63,17 </t>
  </si>
  <si>
    <t xml:space="preserve">Переустройство ВЛ 35 кВ Восточная - Трудовое с отпайкой на ПС Донское, ВЛ 35 кВ Трудовая - Зуя с отпайкой на ПС Донское ГУП РК "Крымэнерго" ПК6+95,69 </t>
  </si>
  <si>
    <t>Переустройство сетей канализации ООО "Крымская Водная Компания" ПК13+33 d=110</t>
  </si>
  <si>
    <t>Переустройство сетей водоснабжения ООО "Крымская Водная Компания" ПК83+86 d=180</t>
  </si>
  <si>
    <t xml:space="preserve">Переустройство сетей водоснабжения ООО "Крымская Водная Компания" ПК92+50 d=180, d=63, d=32 </t>
  </si>
  <si>
    <t>Технический этап рекультивации</t>
  </si>
  <si>
    <t>Биологический этап рекультивации</t>
  </si>
  <si>
    <t>47,68</t>
  </si>
  <si>
    <t>1.10.1.1</t>
  </si>
  <si>
    <t>1.10.1.2</t>
  </si>
  <si>
    <t>1.10.1.3</t>
  </si>
  <si>
    <t>1.11</t>
  </si>
  <si>
    <t>1.11.1</t>
  </si>
  <si>
    <t>1.12.2</t>
  </si>
  <si>
    <t>Устройство дорожной одежды</t>
  </si>
  <si>
    <t>Защита инженерных сетей</t>
  </si>
  <si>
    <t>Разборка дорожной одежды</t>
  </si>
  <si>
    <t>Разборка защиты инженерных сетей</t>
  </si>
  <si>
    <t>Демонтаж фундаментов</t>
  </si>
  <si>
    <t>Разборка каменного здания</t>
  </si>
  <si>
    <t>Демонтаж металлического ограждения</t>
  </si>
  <si>
    <t>Разборка бетонного покрытия</t>
  </si>
  <si>
    <t>Разборка деревянного здания</t>
  </si>
  <si>
    <t>Переустройство сетей водоснабжения ООО "ВО "Технопроэкспорт" (Таврическая ТЭС) ПК92 - ПК98, d=225</t>
  </si>
  <si>
    <t>Разборка оконных проемов и балконных блоков</t>
  </si>
  <si>
    <t>Монтаж окон и дверей из ПВХ профелей</t>
  </si>
  <si>
    <t>Установка в окно шумозащитного проветривающего устройства "Аэромат-80"</t>
  </si>
  <si>
    <t xml:space="preserve">Разработка непригодного грунта </t>
  </si>
  <si>
    <t>Разработка скального грунта</t>
  </si>
  <si>
    <t>Устройство насыпи из привозного грунта</t>
  </si>
  <si>
    <t>Устройство насыпи из местного грунта</t>
  </si>
  <si>
    <t xml:space="preserve">Укрепление откосов геоматами </t>
  </si>
  <si>
    <t>Укрепление откосов, кюветов и канав гидропосевом трав</t>
  </si>
  <si>
    <t>Укрепление дна кюветов и канав щебнем</t>
  </si>
  <si>
    <t>Укрепление откосов, кюветов и канав монолитным бетоном</t>
  </si>
  <si>
    <t>Устройство гасителя из матрацев "Рено"</t>
  </si>
  <si>
    <t>Устройство монолитных быстротоков и лотков</t>
  </si>
  <si>
    <t xml:space="preserve">Устройство гидроизоляции </t>
  </si>
  <si>
    <t>Устройство упоров из коробчатых габионов</t>
  </si>
  <si>
    <t>Устройство верхнего слоя основания из асфальтобетона, толщиной 0,14 м</t>
  </si>
  <si>
    <t>Устройство нижнего слоя покрытия из асфальтобетонна, толщиной 0,09 м</t>
  </si>
  <si>
    <t>Устройство верхнего слоя покрытия из щебеночно-мастичного асфальтобенна, толщиной 0,05 м</t>
  </si>
  <si>
    <t>Устройство слоя основания разделительной полосы из щебеночно-песчаной смеси, толщиной 0,24 м</t>
  </si>
  <si>
    <t>Устройство покрытия разделительной полосы из асфальтобетона, толщиной 0,04 м</t>
  </si>
  <si>
    <t>Досыпка обочин ЩПС</t>
  </si>
  <si>
    <t>Устройство обочин из щебеночно-песчаной смеси толщиной 0,14 м</t>
  </si>
  <si>
    <t>Укрепление обочин гидропосевом трав</t>
  </si>
  <si>
    <t>Укрепление обочин щебеночно-песчаной смесью, толщиной 0,28 м</t>
  </si>
  <si>
    <t>Укрепление обочин асфальтобетоном, толщиной 0,04 м</t>
  </si>
  <si>
    <t>Устройство бортового камня БР 100.30.18</t>
  </si>
  <si>
    <t>п.м</t>
  </si>
  <si>
    <t>Устройство водосбросов с проезжей части типа I при односторонних уклонах</t>
  </si>
  <si>
    <t>Устройство водосбросов с проезжей части типа II при встречных уклонах</t>
  </si>
  <si>
    <t>Устройство водосбросов с проезжей части типа III из дождеприемных колодцев</t>
  </si>
  <si>
    <t xml:space="preserve">Установка телескопических лотков Б-7 </t>
  </si>
  <si>
    <t>Устройство гасителя у подошвы насыпи (ТИП 1)</t>
  </si>
  <si>
    <t>Устройство гасителя у подошвы насыпи (выход на докуветную полку) (ТИП 1а)</t>
  </si>
  <si>
    <t>Устройство гасителей в кювете (ТИП 2)</t>
  </si>
  <si>
    <t>2.7.1.1.2</t>
  </si>
  <si>
    <t>Разработка непригодного грунта</t>
  </si>
  <si>
    <t>2.7.1.1.3</t>
  </si>
  <si>
    <t>2.7.1.1.4</t>
  </si>
  <si>
    <t>2.7.1.1.5</t>
  </si>
  <si>
    <t>2.7.1.1.6</t>
  </si>
  <si>
    <t>2.7.1.1.7</t>
  </si>
  <si>
    <t>2.7.1.1.8</t>
  </si>
  <si>
    <t>2.7.1.1.9</t>
  </si>
  <si>
    <t>2.7.1.1.10</t>
  </si>
  <si>
    <t>2.7.1.1.11</t>
  </si>
  <si>
    <t>Устройство водобойной стенки</t>
  </si>
  <si>
    <t>2.7.1.1.12</t>
  </si>
  <si>
    <t>Устройство гидроизоляции из бентонитовых матов</t>
  </si>
  <si>
    <t xml:space="preserve">2.7.1.2 </t>
  </si>
  <si>
    <t>Дорожная одежда</t>
  </si>
  <si>
    <t>2.7.1.2.1</t>
  </si>
  <si>
    <t>Устройство слоя основания из щебеночно-песчаной смеси, толщиной 0,55 м</t>
  </si>
  <si>
    <t>2.7.1.2.2</t>
  </si>
  <si>
    <t>Устройство слоя основания из щебеночно-песчаной смеси, толщиной 0,60 м</t>
  </si>
  <si>
    <t>2.7.1.2.3</t>
  </si>
  <si>
    <t>Устройство слоя основания из щебеночно-песчаной смеси, толщиной 0,65 м</t>
  </si>
  <si>
    <t>2.7.1.2.4</t>
  </si>
  <si>
    <t>2.7.1.2.5</t>
  </si>
  <si>
    <t>Устройство верхнего слоя основания из асфальтобетона, толщиной 0,09 м</t>
  </si>
  <si>
    <t>2.7.1.2.6</t>
  </si>
  <si>
    <t>Устройство нижнего слоя покрытия из асфальтобетона, толщиной 0,08 м</t>
  </si>
  <si>
    <t>2.7.1.2.7</t>
  </si>
  <si>
    <t>Устройство нижнего слоя покрытия из асфальтобетона, толщиной 0,07 м</t>
  </si>
  <si>
    <t>2.7.1.2.8</t>
  </si>
  <si>
    <t>Устройство нижнего слоя покрытия из асфальтобетона, толщиной 0,12 м</t>
  </si>
  <si>
    <t>2.7.1.2.9</t>
  </si>
  <si>
    <t>2.7.1.2.10</t>
  </si>
  <si>
    <t>2.7.1.2.11</t>
  </si>
  <si>
    <t>2.7.1.2.12</t>
  </si>
  <si>
    <t>Укрепление смесью из щебня с асфальтогранулятом толщиной 0.17</t>
  </si>
  <si>
    <t>2.7.1.2.13</t>
  </si>
  <si>
    <t>Укрепление смесью из щебня с асфальтогранулятом толщиной 0.21</t>
  </si>
  <si>
    <t>2.7.1.2.14</t>
  </si>
  <si>
    <t>Укрепление смесью из щебня с асфальтогранулятом толщиной 0.24</t>
  </si>
  <si>
    <t>2.7.1.2.15</t>
  </si>
  <si>
    <t>Укрепление смесью из щебня с асфальтогранулятом толщиной 0.27</t>
  </si>
  <si>
    <t>2.7.1.2.16</t>
  </si>
  <si>
    <t>Устройство нижнего слоя тротуара из щебеночно-песчаной смеси, толщиной 0,20 м</t>
  </si>
  <si>
    <t>2.7.1.2.17</t>
  </si>
  <si>
    <t>Устройство верхнего слоя из асфальтобетона, толщиной 0,04 м</t>
  </si>
  <si>
    <t>2.7.1.2.18</t>
  </si>
  <si>
    <t>п.м.</t>
  </si>
  <si>
    <t>2.7.1.2.19</t>
  </si>
  <si>
    <t>Устройство бортового камня БР 100.20.8</t>
  </si>
  <si>
    <t>2.7.1.2.20</t>
  </si>
  <si>
    <t>2.7.1.2.21</t>
  </si>
  <si>
    <t>2.7.1.2.22</t>
  </si>
  <si>
    <t>2.7.1.2.23</t>
  </si>
  <si>
    <t>Устройство телескопических лотков Б-7 по откосу насыпи</t>
  </si>
  <si>
    <t>2.7.1.2.24</t>
  </si>
  <si>
    <t>Устройство гасителей у подошвы насыпи (ТИП 1)</t>
  </si>
  <si>
    <t>2.7.1.2.25</t>
  </si>
  <si>
    <t>2.7.1.2.26</t>
  </si>
  <si>
    <t xml:space="preserve">Устройство сборного железобетонного лотка </t>
  </si>
  <si>
    <t>2.7.1.2.27</t>
  </si>
  <si>
    <t>Устройство слоя основания из щебеночно-песчаной смеси, толщиной 0,40 м</t>
  </si>
  <si>
    <t>2.7.1.2.28</t>
  </si>
  <si>
    <t>Устройство нижнего слоя основания из щебеночно-песчаной смеси, толщиной 0,20 м</t>
  </si>
  <si>
    <t>2.7.1.2.29</t>
  </si>
  <si>
    <t>2.7.1.2.30</t>
  </si>
  <si>
    <t>Устройство тактильной плитки</t>
  </si>
  <si>
    <t>2.7.1.2.31</t>
  </si>
  <si>
    <t>Устройство пешеходного мостика</t>
  </si>
  <si>
    <t>2.7.1.2.32</t>
  </si>
  <si>
    <t>Устройство лестничных сходов</t>
  </si>
  <si>
    <t>2.7.1.3</t>
  </si>
  <si>
    <t>2.7.1.3.1</t>
  </si>
  <si>
    <t>2.7.1.3.1.1</t>
  </si>
  <si>
    <t>2.7.1.3.1.2</t>
  </si>
  <si>
    <t>Монтаж металлической гофрированной трубы</t>
  </si>
  <si>
    <t>2.7.1.3.1.3</t>
  </si>
  <si>
    <t>2.7.1.3.1.4</t>
  </si>
  <si>
    <t>2.7.1.3.1.5</t>
  </si>
  <si>
    <t>2.7.1.3.1.6</t>
  </si>
  <si>
    <t>Укрепление монолитным бетоном откосов и русла, толщиной 0,08м</t>
  </si>
  <si>
    <t>2.7.1.3.1.7</t>
  </si>
  <si>
    <t>Укрепление монолитным бетоном откосов и русла, толщиной 0,12м</t>
  </si>
  <si>
    <t>2.7.1.3.1.8</t>
  </si>
  <si>
    <t xml:space="preserve">Устройство упоров  </t>
  </si>
  <si>
    <t>2.7.1.3.1.9</t>
  </si>
  <si>
    <t>Устройство конца укрепления, ковш размыва</t>
  </si>
  <si>
    <t>2.7.1.3.1.10</t>
  </si>
  <si>
    <t>Каменная наброска</t>
  </si>
  <si>
    <t>2.7.1.3.2</t>
  </si>
  <si>
    <t>Устройство водопропускных труб металлических гофрированных одноочковых, диаметром 1,5 м</t>
  </si>
  <si>
    <t>2.7.1.3.2.1</t>
  </si>
  <si>
    <t>2.7.1.3.2.2</t>
  </si>
  <si>
    <t>2.7.1.3.2.3</t>
  </si>
  <si>
    <t>2.7.1.3.2.4</t>
  </si>
  <si>
    <t>2.7.1.3.2.5</t>
  </si>
  <si>
    <t>2.7.1.3.2.6</t>
  </si>
  <si>
    <t>2.7.1.3.2.7</t>
  </si>
  <si>
    <t>2.7.1.3.2.8</t>
  </si>
  <si>
    <t>2.12.1.2</t>
  </si>
  <si>
    <t>2.12.1.3</t>
  </si>
  <si>
    <t>2.12.1.4</t>
  </si>
  <si>
    <t>Укрепление откосов насыпи гидропосевом по слою растительного грунта</t>
  </si>
  <si>
    <t>Укрепление дна кюветов щебнем</t>
  </si>
  <si>
    <t>2.12.2</t>
  </si>
  <si>
    <t>2.12.2.1</t>
  </si>
  <si>
    <t>Устройство слоя основания из щебеночно-песчаной смеси, толщиной 0,69 м</t>
  </si>
  <si>
    <t>2.12.2.2</t>
  </si>
  <si>
    <t>2.12.2.3</t>
  </si>
  <si>
    <t>2.12.2.4</t>
  </si>
  <si>
    <t xml:space="preserve">Устройство обочин из щебеночно-песчаной смеси  </t>
  </si>
  <si>
    <t>2.12.2.5</t>
  </si>
  <si>
    <t>Устройство водоотвода с проезжей части</t>
  </si>
  <si>
    <t>2.12.3</t>
  </si>
  <si>
    <t>Устройство тротуара</t>
  </si>
  <si>
    <t>2.12.3.1</t>
  </si>
  <si>
    <t>Устройство слоя основания из щебеночно-песчаной смеси, толщиной 0,20 м</t>
  </si>
  <si>
    <t>2.12.3.2</t>
  </si>
  <si>
    <t>Устройство покрытия из асфальтобетонной смеси, толщиной 0,05 м</t>
  </si>
  <si>
    <t>2.12.3.3</t>
  </si>
  <si>
    <t>2.12.4</t>
  </si>
  <si>
    <t>Малые архитектурные формы</t>
  </si>
  <si>
    <t>2.12.4.1</t>
  </si>
  <si>
    <t>Установка мобильных биотуалетов</t>
  </si>
  <si>
    <t>2.12.4.2</t>
  </si>
  <si>
    <t xml:space="preserve">Установка беседок </t>
  </si>
  <si>
    <t>2.12.4.3</t>
  </si>
  <si>
    <t>Установка скамеек</t>
  </si>
  <si>
    <t>2.12.4.4</t>
  </si>
  <si>
    <t>Установка урн</t>
  </si>
  <si>
    <t>2.12.4.5</t>
  </si>
  <si>
    <t>Установка мусорных контейнеров</t>
  </si>
  <si>
    <t>2.12.4.6</t>
  </si>
  <si>
    <t>Укладка тактильной плитки</t>
  </si>
  <si>
    <t>2.12.4.7</t>
  </si>
  <si>
    <t>Посадка деревьев</t>
  </si>
  <si>
    <t>2.12.4.8</t>
  </si>
  <si>
    <t>Посадка кустарников</t>
  </si>
  <si>
    <t>2.12.4.9</t>
  </si>
  <si>
    <t>Устройство газона</t>
  </si>
  <si>
    <t xml:space="preserve">Досыпка обочин щебеночно-песчаной смесью  </t>
  </si>
  <si>
    <t>Укрепление обочин щебеночно-песчаной смесью, толщиной 0,25 м</t>
  </si>
  <si>
    <t>Укрепление обочин гидропосевом по слою растительного грунта</t>
  </si>
  <si>
    <t>6.3.2</t>
  </si>
  <si>
    <t>Устройство покрытия из асфальтобеитонной смеси, толщиной 0,05 м</t>
  </si>
  <si>
    <t>6.3.3</t>
  </si>
  <si>
    <t>Досыпка обочин щебеночно-песчаной смесью</t>
  </si>
  <si>
    <t>6.3.4</t>
  </si>
  <si>
    <t>Укрепление обочин щебеночно-песчаной смесью</t>
  </si>
  <si>
    <t>6.3.5</t>
  </si>
  <si>
    <t>Устройство фундаментов опор</t>
  </si>
  <si>
    <t>Установка опор освещения</t>
  </si>
  <si>
    <t>Установка светильников с кронштейнами</t>
  </si>
  <si>
    <t>Прокладка кабеля ПвКШп в траншее,</t>
  </si>
  <si>
    <t>Прокладка кабеля  в трубах в том числе по мостам</t>
  </si>
  <si>
    <t xml:space="preserve">Устройство вводов КЛ в опору </t>
  </si>
  <si>
    <t>Прокладка кабеля по конструкциям БРП,ТП и ШНО, м</t>
  </si>
  <si>
    <t>Монтаж муфт с подключением</t>
  </si>
  <si>
    <t>Устройство заземления опор на концах путепровода, шт</t>
  </si>
  <si>
    <t>Устройство заземления опор, шт</t>
  </si>
  <si>
    <t>Установка шкафа ШНО</t>
  </si>
  <si>
    <t>Устройство переходов ГНБ</t>
  </si>
  <si>
    <t>Прокладка труб по торцу ПТТ</t>
  </si>
  <si>
    <t>Прокладка кабелей 10 кВ от ЛЭП-10кВ ГУП РК "Крымэнерго" до 
ТП-2</t>
  </si>
  <si>
    <t>Кабельная линия от ТП-2 до ТП-3</t>
  </si>
  <si>
    <t>Кабельная линия от ТП-3 до ТП-4</t>
  </si>
  <si>
    <t>Прокладка труб в траншее</t>
  </si>
  <si>
    <t>Монтаж ТП №1 100кВА</t>
  </si>
  <si>
    <t>Монтаж ТП №2 63кВА</t>
  </si>
  <si>
    <t>Монтаж ТП №3 63кВА</t>
  </si>
  <si>
    <t>Монтаж ТП №4 40кВА</t>
  </si>
  <si>
    <t>2.7.2.1.2</t>
  </si>
  <si>
    <t>2.7.2.1.3</t>
  </si>
  <si>
    <t>2.7.2.1.4</t>
  </si>
  <si>
    <t>2.7.2.1.5</t>
  </si>
  <si>
    <t>2.7.2.1.6</t>
  </si>
  <si>
    <t>2.7.2.1.7</t>
  </si>
  <si>
    <t>2.7.2.1.8</t>
  </si>
  <si>
    <t>2.7.2.1.9</t>
  </si>
  <si>
    <t>2.7.2.1.10</t>
  </si>
  <si>
    <t>2.7.2.2</t>
  </si>
  <si>
    <t>2.7.2.2.1</t>
  </si>
  <si>
    <t>Устройство слоя основания из щебеночно-песчаной смеси, толщиной 0,57 м</t>
  </si>
  <si>
    <t>2.7.2.2.2</t>
  </si>
  <si>
    <t>2.7.2.2.3</t>
  </si>
  <si>
    <t>2.7.2.2.4</t>
  </si>
  <si>
    <t>Устройство нижнего слоя покрытия из асфальтобетона, толщиной 0,13 м</t>
  </si>
  <si>
    <t>2.7.2.2.5</t>
  </si>
  <si>
    <t>2.7.2.2.6</t>
  </si>
  <si>
    <t>Устройство верхнего слоя покрытия из щебеночно-мастичного асфальтобетона, толщиной 0,05 м</t>
  </si>
  <si>
    <t>2.7.2.2.7</t>
  </si>
  <si>
    <t>2.7.2.2.8</t>
  </si>
  <si>
    <t>2.7.2.2.9</t>
  </si>
  <si>
    <t>Укрепление смесью из щебня с асфальтогранулятом толщиной 0.18</t>
  </si>
  <si>
    <t>2.7.2.2.10</t>
  </si>
  <si>
    <t>Укрепление смесью из щебня с асфальтогранулятом толщиной 0.20</t>
  </si>
  <si>
    <t>2.7.2.2.11</t>
  </si>
  <si>
    <t>2.7.2.2.12</t>
  </si>
  <si>
    <t>Укрепление обочин асфальтобетоном, толщиной 0,07 м</t>
  </si>
  <si>
    <t>2.7.2.2.13</t>
  </si>
  <si>
    <t>2.7.2.2.14</t>
  </si>
  <si>
    <t>2.7.2.2.15</t>
  </si>
  <si>
    <t>2.7.2.2.16</t>
  </si>
  <si>
    <t>2.7.2.2.17</t>
  </si>
  <si>
    <t>2.7.2.2.18</t>
  </si>
  <si>
    <t>2.7.2.2.19</t>
  </si>
  <si>
    <t>2.7.2.2.20</t>
  </si>
  <si>
    <t>Устройство водосбросов с проезжей части типа IV из дождеприемных колодцев</t>
  </si>
  <si>
    <t>2.7.2.2.21</t>
  </si>
  <si>
    <t>2.7.2.2.22</t>
  </si>
  <si>
    <t>2.7.2.2.23</t>
  </si>
  <si>
    <t>2.7.2.2.24</t>
  </si>
  <si>
    <t>Устройство дренажа</t>
  </si>
  <si>
    <t>2.7.2.2.25</t>
  </si>
  <si>
    <t>2.7.2.3</t>
  </si>
  <si>
    <t>2.7.2.3.1</t>
  </si>
  <si>
    <t>2.7.2.3.1.1</t>
  </si>
  <si>
    <t>2.7.2.3.1.2</t>
  </si>
  <si>
    <t>2.7.2.3.1.3</t>
  </si>
  <si>
    <t>2.7.2.3.1.4</t>
  </si>
  <si>
    <t>2.7.2.3.1.5</t>
  </si>
  <si>
    <t>2.7.2.3.1.6</t>
  </si>
  <si>
    <t>2.7.2.3.1.7</t>
  </si>
  <si>
    <t>2.7.2.3.1.8</t>
  </si>
  <si>
    <t>2.7.2.3.1.9</t>
  </si>
  <si>
    <t>2.7.2.3.2</t>
  </si>
  <si>
    <t>2.7.2.3.2.1</t>
  </si>
  <si>
    <t>2.7.2.3.2.2</t>
  </si>
  <si>
    <t>2.7.2.3.2.3</t>
  </si>
  <si>
    <t>2.7.2.3.2.4</t>
  </si>
  <si>
    <t>2.7.2.3.2.5</t>
  </si>
  <si>
    <t>2.7.2.3.2.6</t>
  </si>
  <si>
    <t>2.7.2.3.2.7</t>
  </si>
  <si>
    <t>2.7.2.3.2.8</t>
  </si>
  <si>
    <t>2.7.2.3.3</t>
  </si>
  <si>
    <t>Устройство водопропускных труб металлических гофрированных одноочковых, диаметром 2,0 м</t>
  </si>
  <si>
    <t>2.7.2.3.3.1</t>
  </si>
  <si>
    <t>2.7.2.3.3.2</t>
  </si>
  <si>
    <t>2.7.2.3.3.3</t>
  </si>
  <si>
    <t>Укрепление отводящего русла каменной наброской</t>
  </si>
  <si>
    <t>2.7.2.3.3.4</t>
  </si>
  <si>
    <t>2.7.2.3.3.5</t>
  </si>
  <si>
    <t>2.7.2.3.3.6</t>
  </si>
  <si>
    <t>2.7.2.3.3.7</t>
  </si>
  <si>
    <t>2.7.2.3.3.8</t>
  </si>
  <si>
    <t>2.7.2.3.3.9</t>
  </si>
  <si>
    <t>2.7.2.4</t>
  </si>
  <si>
    <t>2.7.2.4.1</t>
  </si>
  <si>
    <t>2.8.1.1.2</t>
  </si>
  <si>
    <t>2.8.1.1.3</t>
  </si>
  <si>
    <t>2.8.1.1.4</t>
  </si>
  <si>
    <t>2.8.1.1.5</t>
  </si>
  <si>
    <t>2.8.1.1.6</t>
  </si>
  <si>
    <t>2.8.1.1.7</t>
  </si>
  <si>
    <t>2.8.1.1.8</t>
  </si>
  <si>
    <t>2.8.1.1.9</t>
  </si>
  <si>
    <t>2.8.1.1.10</t>
  </si>
  <si>
    <t>2.8.1.1.11</t>
  </si>
  <si>
    <t>2.8.1.2</t>
  </si>
  <si>
    <t>2.8.1.2.1</t>
  </si>
  <si>
    <t>Устройство слоя основания из щебеночно-песчаной смеси, толщиной 0,62 м</t>
  </si>
  <si>
    <t>2.8.1.2.2</t>
  </si>
  <si>
    <t>2.8.1.2.3</t>
  </si>
  <si>
    <t>Устройство нижнего слоя покрытия из асфальтобетона, толщиной 0,10 м</t>
  </si>
  <si>
    <t>2.8.1.2.4</t>
  </si>
  <si>
    <t>2.8.1.2.5</t>
  </si>
  <si>
    <t>2.8.1.2.6</t>
  </si>
  <si>
    <t>Укрепление смесью из щебня с асфальтогранулятом толщиной 0.15</t>
  </si>
  <si>
    <t>2.8.1.2.7</t>
  </si>
  <si>
    <t>2.8.1.2.8</t>
  </si>
  <si>
    <t>2.8.1.2.9</t>
  </si>
  <si>
    <t>2.8.1.2.10</t>
  </si>
  <si>
    <t>2.8.1.2.11</t>
  </si>
  <si>
    <t>2.8.1.2.12</t>
  </si>
  <si>
    <t>2.8.1.2.13</t>
  </si>
  <si>
    <t>2.8.1.3</t>
  </si>
  <si>
    <t>2.8.1.3.1</t>
  </si>
  <si>
    <t>2.8.1.3.1.1</t>
  </si>
  <si>
    <t>2.8.1.3.1.2</t>
  </si>
  <si>
    <t>2.8.1.3.1.3</t>
  </si>
  <si>
    <t>2.8.1.3.1.4</t>
  </si>
  <si>
    <t>2.8.1.3.1.5</t>
  </si>
  <si>
    <t>2.8.1.3.1.6</t>
  </si>
  <si>
    <t>2.8.1.3.1.7</t>
  </si>
  <si>
    <t>2.8.1.3.1.8</t>
  </si>
  <si>
    <t>2.8.1.4</t>
  </si>
  <si>
    <t>2.8.1.4.1</t>
  </si>
  <si>
    <t>2.8.2.1.2</t>
  </si>
  <si>
    <t>2.8.2.1.3</t>
  </si>
  <si>
    <t>2.8.2.1.4</t>
  </si>
  <si>
    <t>2.8.2.1.5</t>
  </si>
  <si>
    <t>2.8.2.2</t>
  </si>
  <si>
    <t>2.8.2.2.1</t>
  </si>
  <si>
    <t>2.8.2.2.2</t>
  </si>
  <si>
    <t>Устройство призмы схода из щебеночно-песчаной смеси</t>
  </si>
  <si>
    <t>2.8.2.2.3</t>
  </si>
  <si>
    <t>Устройство слоя покрытия из асфальтобетона, толщиной 0,05 м</t>
  </si>
  <si>
    <t>2.8.2.2.4</t>
  </si>
  <si>
    <t>Укрепление обочин щебеночно-песчаной смесью, толщиной 0,15 м</t>
  </si>
  <si>
    <t>2.8.2.3</t>
  </si>
  <si>
    <t>Устройство стеклопластиковых труб, диаметром 0,5 м</t>
  </si>
  <si>
    <t>2.8.2.3.1</t>
  </si>
  <si>
    <t>Монтаж стеклопластиковой трубы</t>
  </si>
  <si>
    <t>2.8.2.3.2</t>
  </si>
  <si>
    <t>2.8.2.3.3</t>
  </si>
  <si>
    <t>2.8.2.3.4</t>
  </si>
  <si>
    <t>6.1.2</t>
  </si>
  <si>
    <t>Укрепление гидропосевом трав по слою растительного грунта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</si>
  <si>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</si>
  <si>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</si>
  <si>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</si>
  <si>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</si>
  <si>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</si>
  <si>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</si>
  <si>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</si>
  <si>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</si>
  <si>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2.5.1.1.3</t>
  </si>
  <si>
    <t>2.5.1.1.4</t>
  </si>
  <si>
    <t>2.5.1.1.5</t>
  </si>
  <si>
    <t>2.5.1.1.6</t>
  </si>
  <si>
    <t>2.5.1.1.7</t>
  </si>
  <si>
    <t>2.5.1.1.8</t>
  </si>
  <si>
    <t>Укрепление откосов и дна отводящего русла растительным грунтом с посевом трав</t>
  </si>
  <si>
    <t>2.5.1.1.1</t>
  </si>
  <si>
    <t>2.5.1.1.9</t>
  </si>
  <si>
    <t>2.8.3.1.2</t>
  </si>
  <si>
    <t>2.8.3.1.3</t>
  </si>
  <si>
    <t>2.8.3.1.4</t>
  </si>
  <si>
    <t>Укрепление откосов гидропосевом трав</t>
  </si>
  <si>
    <t>2.8.3.1.5</t>
  </si>
  <si>
    <t>Укрепление откосов геоматами</t>
  </si>
  <si>
    <t>2.8.3.1.6</t>
  </si>
  <si>
    <t>2.8.3.1.7</t>
  </si>
  <si>
    <t>2.8.3.2</t>
  </si>
  <si>
    <t>2.8.3.2.1</t>
  </si>
  <si>
    <t>2.8.3.3</t>
  </si>
  <si>
    <t>2.8.3.3.1</t>
  </si>
  <si>
    <t>2.8.3.3.2</t>
  </si>
  <si>
    <t>2.8.3.3.3</t>
  </si>
  <si>
    <t>2.8.3.3.4</t>
  </si>
  <si>
    <t>2.8.3.3.5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</si>
  <si>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</si>
  <si>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</si>
  <si>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</si>
  <si>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</si>
  <si>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</si>
  <si>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</si>
  <si>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</si>
  <si>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2.5.1.2.7</t>
  </si>
  <si>
    <t>2.5.1.2.8</t>
  </si>
  <si>
    <t xml:space="preserve">Устройство буронабивных  свай </t>
  </si>
  <si>
    <t>Монтаж панелей акустических экранов</t>
  </si>
  <si>
    <t>Монтаж панелей акустических экранов на искусственном сооружении</t>
  </si>
  <si>
    <t>2.5.1.3</t>
  </si>
  <si>
    <t>2.5.1.3.1</t>
  </si>
  <si>
    <t>2.5.1.3.2</t>
  </si>
  <si>
    <t>2.5.1.3.3</t>
  </si>
  <si>
    <t>2.5.1.3.4</t>
  </si>
  <si>
    <t>2.5.1.3.5</t>
  </si>
  <si>
    <t>2.5.1.3.6</t>
  </si>
  <si>
    <t>2.5.1.3.7</t>
  </si>
  <si>
    <t>2.5.1.4</t>
  </si>
  <si>
    <t>2.5.1.4.1</t>
  </si>
  <si>
    <t>2.5.1.4.2</t>
  </si>
  <si>
    <t>2.5.1.4.3</t>
  </si>
  <si>
    <t>2.5.1.4.4</t>
  </si>
  <si>
    <t>2.5.1.4.5</t>
  </si>
  <si>
    <t>2.5.1.4.6</t>
  </si>
  <si>
    <t>2.5.1.4.7</t>
  </si>
  <si>
    <t>2.5.1.4.8</t>
  </si>
  <si>
    <t>Устройство водопропускных труб металлических гофрированных одноочковых, диаметром 3,0 м</t>
  </si>
  <si>
    <t>2.5.1.5</t>
  </si>
  <si>
    <t>2.5.1.5.1</t>
  </si>
  <si>
    <t>2.5.1.5.2</t>
  </si>
  <si>
    <t>2.5.1.5.3</t>
  </si>
  <si>
    <t>2.5.1.5.4</t>
  </si>
  <si>
    <t>2.5.1.5.5</t>
  </si>
  <si>
    <t>2.5.1.5.6</t>
  </si>
  <si>
    <t>2.5.1.5.7</t>
  </si>
  <si>
    <t>2.5.1.5.8</t>
  </si>
  <si>
    <t>Укладка разделительной прослойки гидроизолирующей мембраны</t>
  </si>
  <si>
    <t>Устройство упоров из коробчатых габионов 2.0х1.0х1.0 м с заполнением бутовым камнем</t>
  </si>
  <si>
    <t xml:space="preserve">Укрепление откосов матрасами "Рено" размером 2.0х3.0х0.23 м с заполнением бутовым камнем </t>
  </si>
  <si>
    <t>Засыпка существующего русла грунтом</t>
  </si>
  <si>
    <t>Устройство щебеночной подготовки для укрепления подводящего русла</t>
  </si>
  <si>
    <t>2.5.1.5.9</t>
  </si>
  <si>
    <t>2.5.1.5.10</t>
  </si>
  <si>
    <t>2.5.1.5.11</t>
  </si>
  <si>
    <t>2.5.1.5.12</t>
  </si>
  <si>
    <t>2.5.1.5.13</t>
  </si>
  <si>
    <t>2.5.1.6</t>
  </si>
  <si>
    <t>2.5.1.6.1</t>
  </si>
  <si>
    <t>Прокладка ливневой канализации DN250 из ПП труб</t>
  </si>
  <si>
    <t>Прокладка футляра открытым способом из труб, диаметром 630 мм</t>
  </si>
  <si>
    <t>Монтаж ж/б дождеприемного колодца, диаметром 1,0 м</t>
  </si>
  <si>
    <t>Монтаж ж/б смотрового колодца, диаметром 1,0 м</t>
  </si>
  <si>
    <t>Устройство телескопических лотков по откосу насыпи</t>
  </si>
  <si>
    <t xml:space="preserve">Устройство гасителя </t>
  </si>
  <si>
    <t>Монтаж ж/б смотрового колодца, диаметром 1,5 м</t>
  </si>
  <si>
    <t>Прокладка футляра открытым способом из труб, диаметром 710 мм</t>
  </si>
  <si>
    <t>Прокладка футляра открытым способом из труб, диаметром 900 мм</t>
  </si>
  <si>
    <t>6.2.2</t>
  </si>
  <si>
    <t>Демонтаж существующей ливневой канализации</t>
  </si>
  <si>
    <t>6.2.2.1</t>
  </si>
  <si>
    <t>6.2.2.2</t>
  </si>
  <si>
    <t>6.2.2.3</t>
  </si>
  <si>
    <t>6.2.2.4</t>
  </si>
  <si>
    <t>6.2.2.5</t>
  </si>
  <si>
    <t>6.2.2.6</t>
  </si>
  <si>
    <t>6.2.2.7</t>
  </si>
  <si>
    <t>6.2.2.8</t>
  </si>
  <si>
    <t>6.2.2.9</t>
  </si>
  <si>
    <t>6.2.2.10</t>
  </si>
  <si>
    <t>6.2.2.11</t>
  </si>
  <si>
    <t>6.2.2.12</t>
  </si>
  <si>
    <t>6.2.1.1</t>
  </si>
  <si>
    <t>6.2.1.2</t>
  </si>
  <si>
    <t>6.2.1.3</t>
  </si>
  <si>
    <t>6.2.1.4</t>
  </si>
  <si>
    <t>6.2.1.5</t>
  </si>
  <si>
    <t>Прокладка ливневой канализации DN400 из ПП труб</t>
  </si>
  <si>
    <t xml:space="preserve">Демонтаж ливневой канализации DN250 </t>
  </si>
  <si>
    <t>Демонтаж ливневой канализации DN315</t>
  </si>
  <si>
    <t>Демонтаж ливневой канализации DN400</t>
  </si>
  <si>
    <t>Демонтаж смотрового колодца</t>
  </si>
  <si>
    <t>Демонтаж дождеприемного колодца</t>
  </si>
  <si>
    <t>Прокладка ливневой канализации DN315 из ПП труб</t>
  </si>
  <si>
    <t>ИТОГО стоимость работ с учетом прочих затрат в текущих ценах 4 квартала 2021 г.</t>
  </si>
  <si>
    <t>9.4</t>
  </si>
  <si>
    <t>9.5.1</t>
  </si>
  <si>
    <t>Стоимость утилизации отходов</t>
  </si>
  <si>
    <t>тн</t>
  </si>
  <si>
    <t>ОСР-09-02</t>
  </si>
  <si>
    <t xml:space="preserve">ИССО  ТР1 </t>
  </si>
  <si>
    <t>ИССО буронаб сваи</t>
  </si>
  <si>
    <t>ливневка</t>
  </si>
  <si>
    <t>ЛОС №2 производительностью 40 л/с</t>
  </si>
  <si>
    <t>ЛОС №3 производительностью 15,3 л/с</t>
  </si>
  <si>
    <t>ЛОС №1 производительностью 35 л/с</t>
  </si>
  <si>
    <t>2.3.1.1.2</t>
  </si>
  <si>
    <t>2.3.1.1.3</t>
  </si>
  <si>
    <t>2.3.1.1.4</t>
  </si>
  <si>
    <t>2.3.1.1.5</t>
  </si>
  <si>
    <t>2.3.1.1.6</t>
  </si>
  <si>
    <t>2.3.1.1.7</t>
  </si>
  <si>
    <t>2.3.1.1.8</t>
  </si>
  <si>
    <t>Устройство бетонной подготовки</t>
  </si>
  <si>
    <t>Устройство монолитных ж/б ростверков</t>
  </si>
  <si>
    <t>Устройство монолитных ж/б стоек</t>
  </si>
  <si>
    <t>Устройство монолитных ж/б насадок</t>
  </si>
  <si>
    <t>Устройство монолитных ж/б шкафных стенок, открылков и подферменных площадок</t>
  </si>
  <si>
    <t>Устройство обмазочной гидроизоляции</t>
  </si>
  <si>
    <t>Окраска видимых железобетонных поверхностей крайних опор</t>
  </si>
  <si>
    <t>Устройство промежуточных опор</t>
  </si>
  <si>
    <t>Устройство монолитных ж/б ригелей и подферменных площадок</t>
  </si>
  <si>
    <t>Окраска видимых железобетонных поверхностей промежуточных опор</t>
  </si>
  <si>
    <t>Сооружение сборных железобетонных балочных пролетных строений</t>
  </si>
  <si>
    <t>Установка клиновидных прокладок</t>
  </si>
  <si>
    <t>Установка опорных частей</t>
  </si>
  <si>
    <t>Монтаж железобетонных балок пролётного строения</t>
  </si>
  <si>
    <t xml:space="preserve">Устройство ж/б плиты проезжей части </t>
  </si>
  <si>
    <t>Устройство декоративного карниза из фибробетонных блоков</t>
  </si>
  <si>
    <t xml:space="preserve">Обработка видимых железобетонных поверхностей </t>
  </si>
  <si>
    <t>Окраска открытых железобетонных поверхностей пролетного строения</t>
  </si>
  <si>
    <t>Устройство мостового полотна</t>
  </si>
  <si>
    <t>Устройство гидроизоляции оклеечного типа</t>
  </si>
  <si>
    <t>Устройство закрытого дренажа</t>
  </si>
  <si>
    <t>пог.м</t>
  </si>
  <si>
    <t>Установка металлического барьерного ограждения</t>
  </si>
  <si>
    <t>пог.м.</t>
  </si>
  <si>
    <t>Установка металлического перильного ограждения</t>
  </si>
  <si>
    <t xml:space="preserve">Установка деформационных швов </t>
  </si>
  <si>
    <t>Устройство нижнего слоя покрытия проезжей части из а/б</t>
  </si>
  <si>
    <t>Устройство верхнего слоя покрытия проезжей части из а/б</t>
  </si>
  <si>
    <t xml:space="preserve">Устройство покрытия на служебных проходах из монолитного бетона </t>
  </si>
  <si>
    <t>Обработка бетонного покрытия служебных проходов</t>
  </si>
  <si>
    <t>Устройство покрытия зон у деформационных швов</t>
  </si>
  <si>
    <t xml:space="preserve">Устройство водоотводного коллектора под пролетным строением </t>
  </si>
  <si>
    <t>Устройство сопряжения с насыпью</t>
  </si>
  <si>
    <t>Устройство щебёночной подушки</t>
  </si>
  <si>
    <t>Устройство щебёночной подготовки</t>
  </si>
  <si>
    <t>Устройство монолитных ж/б лежней</t>
  </si>
  <si>
    <t>Устройство монолитных ж/б переходных плит</t>
  </si>
  <si>
    <t>Устройство оклеечной гидроизоляции</t>
  </si>
  <si>
    <t>Устройство нижнего слоя основания из ЩПС на проезжей части</t>
  </si>
  <si>
    <t>Устройство верхнего слоя основания проезжей части из а/б</t>
  </si>
  <si>
    <t xml:space="preserve">Устройство основания из ЩПС на служебных проходах </t>
  </si>
  <si>
    <t>Устройство верхнего слоя покрытия на служебных проходах из а/б</t>
  </si>
  <si>
    <t>Устройство конусов и засыпки за устоями</t>
  </si>
  <si>
    <t>Устройство засыпки за устоями</t>
  </si>
  <si>
    <t>Устройство монолитного упора конуса</t>
  </si>
  <si>
    <t>Укрепление конусов монолитным бетоном по слою щебёночной подготовки</t>
  </si>
  <si>
    <t>Установка бетонного бортового камня с устройством выравнивающего слоя основания из щебня</t>
  </si>
  <si>
    <t>Обработка видимых поверхностей бетонных покрытий</t>
  </si>
  <si>
    <t>Монтаж железобетонных лестничных сходов</t>
  </si>
  <si>
    <t>Монтаж металлического перильного ограждения на лестничных сходах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</si>
  <si>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</si>
  <si>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</si>
  <si>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</si>
  <si>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</si>
  <si>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</si>
  <si>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</si>
  <si>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</si>
  <si>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2.3.1.3</t>
  </si>
  <si>
    <t>2.3.1.3.1</t>
  </si>
  <si>
    <t>2.3.1.3.2</t>
  </si>
  <si>
    <t>2.3.1.3.3</t>
  </si>
  <si>
    <t>2.3.1.3.4</t>
  </si>
  <si>
    <t>2.3.1.3.5</t>
  </si>
  <si>
    <t>2.3.1.3.6</t>
  </si>
  <si>
    <t>2.3.1.3.7</t>
  </si>
  <si>
    <t>2.3.1.4</t>
  </si>
  <si>
    <t>2.3.1.4.1</t>
  </si>
  <si>
    <t>2.3.1.4.2</t>
  </si>
  <si>
    <t>2.3.1.4.3</t>
  </si>
  <si>
    <t>2.3.1.4.4</t>
  </si>
  <si>
    <t>2.3.1.4.5</t>
  </si>
  <si>
    <t>2.3.1.4.6</t>
  </si>
  <si>
    <t>2.3.1.4.7</t>
  </si>
  <si>
    <t>2.3.1.4.8</t>
  </si>
  <si>
    <t>2.3.1.4.9</t>
  </si>
  <si>
    <t>2.3.1.4.10</t>
  </si>
  <si>
    <t>2.3.1.4.11</t>
  </si>
  <si>
    <t>2.3.1.5</t>
  </si>
  <si>
    <t>2.3.1.5.1</t>
  </si>
  <si>
    <t>2.3.1.5.2</t>
  </si>
  <si>
    <t>2.3.1.5.3</t>
  </si>
  <si>
    <t>2.3.1.5.4</t>
  </si>
  <si>
    <t>2.3.1.5.5</t>
  </si>
  <si>
    <t>2.3.1.5.6</t>
  </si>
  <si>
    <t>2.3.1.5.7</t>
  </si>
  <si>
    <t>2.3.1.5.8</t>
  </si>
  <si>
    <t>2.3.1.5.9</t>
  </si>
  <si>
    <t>2.3.1.5.10</t>
  </si>
  <si>
    <t>2.3.1.5.11</t>
  </si>
  <si>
    <t>2.3.1.5.12</t>
  </si>
  <si>
    <t>2.3.1.6</t>
  </si>
  <si>
    <t>2.3.1.6.1</t>
  </si>
  <si>
    <t>2.3.1.6.2</t>
  </si>
  <si>
    <t>2.3.1.6.3</t>
  </si>
  <si>
    <t>2.3.1.6.4</t>
  </si>
  <si>
    <t>2.3.1.6.5</t>
  </si>
  <si>
    <t>2.3.1.7</t>
  </si>
  <si>
    <t>2.3.1.7.1</t>
  </si>
  <si>
    <t>2.3.1.7.2</t>
  </si>
  <si>
    <t>Устройство поддерживающих конструкций под пролетным строением для прокладки кабельных лотков вдоль пролетного строения и вдоль опор</t>
  </si>
  <si>
    <t>Обработка  видимых железобетонных поверхностей переходных плит и бетонного укрепления конуса</t>
  </si>
  <si>
    <t>2.3.2.1.2</t>
  </si>
  <si>
    <t>2.3.2.1.3</t>
  </si>
  <si>
    <t>2.3.2.1.4</t>
  </si>
  <si>
    <t>2.3.2.1.5</t>
  </si>
  <si>
    <t>2.3.2.1.6</t>
  </si>
  <si>
    <t>2.3.2.1.7</t>
  </si>
  <si>
    <t>2.3.2.1.8</t>
  </si>
  <si>
    <t>2.3.2.2</t>
  </si>
  <si>
    <t>2.3.2.2.1</t>
  </si>
  <si>
    <t>2.3.2.2.2</t>
  </si>
  <si>
    <t>2.3.2.2.3</t>
  </si>
  <si>
    <t>2.3.2.2.4</t>
  </si>
  <si>
    <t>2.3.2.2.5</t>
  </si>
  <si>
    <t>2.3.2.2.6</t>
  </si>
  <si>
    <t>2.3.2.3</t>
  </si>
  <si>
    <t>2.3.2.3.1</t>
  </si>
  <si>
    <t>2.3.2.3.2</t>
  </si>
  <si>
    <t>2.3.2.3.3</t>
  </si>
  <si>
    <t>2.3.2.3.4</t>
  </si>
  <si>
    <t>2.3.2.3.5</t>
  </si>
  <si>
    <t>2.3.2.3.6</t>
  </si>
  <si>
    <t>2.3.2.3.7</t>
  </si>
  <si>
    <t>2.3.2.4</t>
  </si>
  <si>
    <t>2.3.2.4.1</t>
  </si>
  <si>
    <t>2.3.2.4.2</t>
  </si>
  <si>
    <t>2.3.2.4.3</t>
  </si>
  <si>
    <t>2.3.2.4.4</t>
  </si>
  <si>
    <t>2.3.2.4.5</t>
  </si>
  <si>
    <t>2.3.2.4.6</t>
  </si>
  <si>
    <t>2.3.2.4.7</t>
  </si>
  <si>
    <t>2.3.2.4.8</t>
  </si>
  <si>
    <t>2.3.2.4.9</t>
  </si>
  <si>
    <t>2.3.2.4.10</t>
  </si>
  <si>
    <t>2.3.2.4.11</t>
  </si>
  <si>
    <t>2.3.2.4.12</t>
  </si>
  <si>
    <t>2.3.2.5</t>
  </si>
  <si>
    <t>2.3.2.5.1</t>
  </si>
  <si>
    <t>2.3.2.5.2</t>
  </si>
  <si>
    <t>2.3.2.5.3</t>
  </si>
  <si>
    <t>2.3.2.5.4</t>
  </si>
  <si>
    <t>2.3.2.5.5</t>
  </si>
  <si>
    <t>2.3.2.5.6</t>
  </si>
  <si>
    <t>2.3.2.5.7</t>
  </si>
  <si>
    <t>2.3.2.5.8</t>
  </si>
  <si>
    <t>2.3.2.5.9</t>
  </si>
  <si>
    <t>2.3.2.5.10</t>
  </si>
  <si>
    <t>2.3.2.5.11</t>
  </si>
  <si>
    <t>2.3.2.5.12</t>
  </si>
  <si>
    <t>2.3.2.5.13</t>
  </si>
  <si>
    <t>2.3.2.6</t>
  </si>
  <si>
    <t>2.3.2.6.1</t>
  </si>
  <si>
    <t>2.3.2.6.2</t>
  </si>
  <si>
    <t>2.3.2.6.3</t>
  </si>
  <si>
    <t>2.3.2.6.4</t>
  </si>
  <si>
    <t>2.3.2.7</t>
  </si>
  <si>
    <t>2.3.2.7.1</t>
  </si>
  <si>
    <t>2.3.2.7.2</t>
  </si>
  <si>
    <t>Устройство монолитных ж/б ростверков, насадок</t>
  </si>
  <si>
    <t>Укрепление кюветов</t>
  </si>
  <si>
    <t>Укрепление обочины монолитным бетоном по слою щебёночной подготовки</t>
  </si>
  <si>
    <t>Устройство водоотвода по опорам</t>
  </si>
  <si>
    <t>2.10.1.2</t>
  </si>
  <si>
    <t>2.10.1.3</t>
  </si>
  <si>
    <t>2.10.1.4</t>
  </si>
  <si>
    <t>2.10.1.5</t>
  </si>
  <si>
    <t>2.10.1.6</t>
  </si>
  <si>
    <t>Устройство монолитных железобетонных открылков, шкафных стенок, подферменных площадок в деревометаллической опалубке</t>
  </si>
  <si>
    <t>Устройство нижнего слоя покрытия на тротуарах до перелома профиля</t>
  </si>
  <si>
    <t>Устройство верхнего слоя покрытия на тротуарах до перелома профиля</t>
  </si>
  <si>
    <t>Устройство водоотвода по опоре</t>
  </si>
  <si>
    <t>Устройство кабельной канализации для прокладки кабеля  под пролетным строением</t>
  </si>
  <si>
    <t>Устройство монолитных ж/б лежней и переходных плит</t>
  </si>
  <si>
    <t xml:space="preserve">Устройство нижнего слоя основания проезжей части из ЩПС </t>
  </si>
  <si>
    <t>Устройство основания из ЩПС на тротуарах</t>
  </si>
  <si>
    <t>Устройство верхнего слоя покрытия на троутарах из а/б</t>
  </si>
  <si>
    <t>Устройство выемки экскаватором</t>
  </si>
  <si>
    <t>Обработка  видимых железобетонных поверхностей</t>
  </si>
  <si>
    <t>2.11.1.2</t>
  </si>
  <si>
    <t>2.11.1.3</t>
  </si>
  <si>
    <t>2.11.1.4</t>
  </si>
  <si>
    <t>2.11.1.5</t>
  </si>
  <si>
    <t>2.11.1.6</t>
  </si>
  <si>
    <t>2.10.1</t>
  </si>
  <si>
    <t>2.10.2</t>
  </si>
  <si>
    <t>2.10.2.1</t>
  </si>
  <si>
    <t>2.10.2.2</t>
  </si>
  <si>
    <t>2.10.2.3</t>
  </si>
  <si>
    <t>2.10.2.4</t>
  </si>
  <si>
    <t>2.10.2.5</t>
  </si>
  <si>
    <t>2.10.2.6</t>
  </si>
  <si>
    <t>2.10.3</t>
  </si>
  <si>
    <t>2.10.3.1</t>
  </si>
  <si>
    <t>2.10.3.2</t>
  </si>
  <si>
    <t>2.10.3.3</t>
  </si>
  <si>
    <t>2.10.3.4</t>
  </si>
  <si>
    <t>2.10.3.5</t>
  </si>
  <si>
    <t>2.10.3.6</t>
  </si>
  <si>
    <t>2.10.3.7</t>
  </si>
  <si>
    <t>2.10.4</t>
  </si>
  <si>
    <t>2.10.4.1</t>
  </si>
  <si>
    <t>2.10.4.2</t>
  </si>
  <si>
    <t>2.10.4.3</t>
  </si>
  <si>
    <t>2.10.4.4</t>
  </si>
  <si>
    <t>2.10.4.5</t>
  </si>
  <si>
    <t>2.10.4.6</t>
  </si>
  <si>
    <t>2.10.4.7</t>
  </si>
  <si>
    <t>2.10.5</t>
  </si>
  <si>
    <t>2.10.5.1</t>
  </si>
  <si>
    <t>2.10.5.2</t>
  </si>
  <si>
    <t>2.10.5.3</t>
  </si>
  <si>
    <t>2.10.5.4</t>
  </si>
  <si>
    <t>2.10.5.5</t>
  </si>
  <si>
    <t>2.10.5.6</t>
  </si>
  <si>
    <t>2.10.5.7</t>
  </si>
  <si>
    <t>2.10.5.8</t>
  </si>
  <si>
    <t>2.10.5.9</t>
  </si>
  <si>
    <t>2.10.6</t>
  </si>
  <si>
    <t>2.10.6.1</t>
  </si>
  <si>
    <t>2.10.6.2</t>
  </si>
  <si>
    <t>2.10.6.3</t>
  </si>
  <si>
    <t>2.10.7</t>
  </si>
  <si>
    <t>2.10.7.1</t>
  </si>
  <si>
    <t>2.11.1</t>
  </si>
  <si>
    <t>2.11.2</t>
  </si>
  <si>
    <t>2.11.2.1</t>
  </si>
  <si>
    <t>2.11.2.2</t>
  </si>
  <si>
    <t>2.11.2.3</t>
  </si>
  <si>
    <t>2.11.2.4</t>
  </si>
  <si>
    <t>2.11.2.5</t>
  </si>
  <si>
    <t>2.11.2.6</t>
  </si>
  <si>
    <t>2.11.3</t>
  </si>
  <si>
    <t>2.11.3.1</t>
  </si>
  <si>
    <t>2.11.3.2</t>
  </si>
  <si>
    <t>2.11.3.3</t>
  </si>
  <si>
    <t>2.11.3.4</t>
  </si>
  <si>
    <t>2.11.3.5</t>
  </si>
  <si>
    <t>2.11.3.6</t>
  </si>
  <si>
    <t>2.11.3.7</t>
  </si>
  <si>
    <t>2.11.4</t>
  </si>
  <si>
    <t>2.11.4.1</t>
  </si>
  <si>
    <t>2.11.4.2</t>
  </si>
  <si>
    <t>2.11.4.3</t>
  </si>
  <si>
    <t>2.11.4.4</t>
  </si>
  <si>
    <t>2.11.4.5</t>
  </si>
  <si>
    <t>2.11.4.6</t>
  </si>
  <si>
    <t>2.11.4.7</t>
  </si>
  <si>
    <t>2.11.5</t>
  </si>
  <si>
    <t>2.11.5.1</t>
  </si>
  <si>
    <t>2.11.5.2</t>
  </si>
  <si>
    <t>2.11.5.3</t>
  </si>
  <si>
    <t>2.11.5.4</t>
  </si>
  <si>
    <t>2.11.5.5</t>
  </si>
  <si>
    <t>2.11.5.6</t>
  </si>
  <si>
    <t>2.11.5.7</t>
  </si>
  <si>
    <t>2.11.5.8</t>
  </si>
  <si>
    <t>2.11.5.9</t>
  </si>
  <si>
    <t>2.11.5.10</t>
  </si>
  <si>
    <t>2.11.5.11</t>
  </si>
  <si>
    <t>2.11.6</t>
  </si>
  <si>
    <t>2.11.6.1</t>
  </si>
  <si>
    <t>2.11.6.2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</si>
  <si>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</si>
  <si>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</si>
  <si>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</si>
  <si>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</si>
  <si>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</si>
  <si>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</si>
  <si>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</si>
  <si>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</si>
  <si>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</si>
  <si>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</si>
  <si>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</si>
  <si>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</si>
  <si>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2.6.1.2.7</t>
  </si>
  <si>
    <t>2.6.1.3</t>
  </si>
  <si>
    <t>2.6.1.3.1</t>
  </si>
  <si>
    <t>2.6.1.3.2</t>
  </si>
  <si>
    <t>2.6.1.3.3</t>
  </si>
  <si>
    <t>2.6.1.3.4</t>
  </si>
  <si>
    <t>2.6.1.3.5</t>
  </si>
  <si>
    <t>2.6.1.3.6</t>
  </si>
  <si>
    <t>2.6.1.3.7</t>
  </si>
  <si>
    <t>2.6.1.4</t>
  </si>
  <si>
    <t>2.6.1.4.1</t>
  </si>
  <si>
    <t>2.6.1.4.2</t>
  </si>
  <si>
    <t>2.6.1.4.3</t>
  </si>
  <si>
    <t>2.6.1.4.4</t>
  </si>
  <si>
    <t>2.6.1.4.5</t>
  </si>
  <si>
    <t>2.6.1.4.6</t>
  </si>
  <si>
    <t>2.6.1.4.7</t>
  </si>
  <si>
    <t>2.6.1.4.8</t>
  </si>
  <si>
    <t>2.6.1.4.9</t>
  </si>
  <si>
    <t>2.6.1.4.10</t>
  </si>
  <si>
    <t>2.6.1.4.11</t>
  </si>
  <si>
    <t>2.6.1.4.12</t>
  </si>
  <si>
    <t>2.6.1.4.13</t>
  </si>
  <si>
    <t>2.6.1.5</t>
  </si>
  <si>
    <t>2.6.1.5.1</t>
  </si>
  <si>
    <t>2.6.1.5.2</t>
  </si>
  <si>
    <t>2.6.1.5.3</t>
  </si>
  <si>
    <t>2.6.1.5.4</t>
  </si>
  <si>
    <t>2.6.1.5.5</t>
  </si>
  <si>
    <t>2.6.1.5.6</t>
  </si>
  <si>
    <t>2.6.1.5.7</t>
  </si>
  <si>
    <t>2.6.1.5.8</t>
  </si>
  <si>
    <t>2.6.1.5.9</t>
  </si>
  <si>
    <t>2.6.1.5.10</t>
  </si>
  <si>
    <t>2.6.1.5.11</t>
  </si>
  <si>
    <t>2.6.1.5.12</t>
  </si>
  <si>
    <t>2.6.1.5.13</t>
  </si>
  <si>
    <t>2.6.1.5.14</t>
  </si>
  <si>
    <t>Устройство тоннеля и подпорных стен</t>
  </si>
  <si>
    <t>Бетонирование монолитной банкетки путепровода</t>
  </si>
  <si>
    <t>Окраска ж.б.проверхности</t>
  </si>
  <si>
    <t>Устройство гидроизоляции путепровода и подпорных стен</t>
  </si>
  <si>
    <t>Устройство гидроизоляции стен тоннеля и подпорных стен</t>
  </si>
  <si>
    <t>Устройство деформационных швов</t>
  </si>
  <si>
    <t>Устройство сопряжения на основном ходу</t>
  </si>
  <si>
    <t>Укладка геомембраны</t>
  </si>
  <si>
    <t>Устройство засыпки за стенами тоннеля и подпорными стенами</t>
  </si>
  <si>
    <t>Обработка бетонного покрытия служебных проходов гидрофобизирующей пропиткой</t>
  </si>
  <si>
    <t>Устройство гидроизоляции</t>
  </si>
  <si>
    <t>Устройство покрытия на съезде С1</t>
  </si>
  <si>
    <t>Устройство защитного слоя основания</t>
  </si>
  <si>
    <t xml:space="preserve"> Устройство нижнего слоя покрытия из а/б</t>
  </si>
  <si>
    <t>Устройство верхнего слоя покрытия  из а/б</t>
  </si>
  <si>
    <t>Устройство дренажа путепровода и подпорных стен</t>
  </si>
  <si>
    <t>2.6.2.1.2</t>
  </si>
  <si>
    <t>2.6.2.1.3</t>
  </si>
  <si>
    <t>2.6.2.1.4</t>
  </si>
  <si>
    <t>2.6.2.2</t>
  </si>
  <si>
    <t>2.6.2.2.1</t>
  </si>
  <si>
    <t>2.6.2.2.2</t>
  </si>
  <si>
    <t>2.6.2.3</t>
  </si>
  <si>
    <t>2.6.2.3.1</t>
  </si>
  <si>
    <t>2.6.2.3.2</t>
  </si>
  <si>
    <t>2.6.2.3.3</t>
  </si>
  <si>
    <t>2.6.2.3.4</t>
  </si>
  <si>
    <t>2.6.2.3.5</t>
  </si>
  <si>
    <t>2.6.2.3.6</t>
  </si>
  <si>
    <t>2.6.2.4</t>
  </si>
  <si>
    <t>2.6.2.4.1</t>
  </si>
  <si>
    <t>2.6.2.4.2</t>
  </si>
  <si>
    <t>2.6.2.4.3</t>
  </si>
  <si>
    <t>2.6.2.4.4</t>
  </si>
  <si>
    <t>2.6.2.4.5</t>
  </si>
  <si>
    <t>2.6.2.5</t>
  </si>
  <si>
    <t>2.6.2.5.1</t>
  </si>
  <si>
    <t>2.6.2.3.7</t>
  </si>
  <si>
    <t>2.6.2.3.8</t>
  </si>
  <si>
    <t>2.6.2.3.9</t>
  </si>
  <si>
    <t>2.6.2.3.10</t>
  </si>
  <si>
    <t>2.6.2.3.11</t>
  </si>
  <si>
    <t>2.6.2.5.2</t>
  </si>
  <si>
    <t>2.6.2.5.3</t>
  </si>
  <si>
    <t>2.6.2.5.4</t>
  </si>
  <si>
    <t>2.6.2.5.5</t>
  </si>
  <si>
    <t>2.6.2.6</t>
  </si>
  <si>
    <t>2.6.2.6.1</t>
  </si>
  <si>
    <t xml:space="preserve">Окраска железобетонных поверхностей </t>
  </si>
  <si>
    <t xml:space="preserve">Устройство обмазочной  гидроизоляции </t>
  </si>
  <si>
    <t xml:space="preserve">Устройство нижнего слоя покрытия на тротуарах из а/б </t>
  </si>
  <si>
    <t xml:space="preserve">Устройство верхнего слоя покрытия на тротуарах из а/б  </t>
  </si>
  <si>
    <t>Устройство поддерживающих конструкций под пролетным строением для прокладки кабельных лотков</t>
  </si>
  <si>
    <t>2.6.3.1.2</t>
  </si>
  <si>
    <t>2.6.3.1.3</t>
  </si>
  <si>
    <t>2.6.3.1.4</t>
  </si>
  <si>
    <t>2.6.3.1.5</t>
  </si>
  <si>
    <t>2.6.3.2</t>
  </si>
  <si>
    <t>2.6.3.2.1</t>
  </si>
  <si>
    <t>2.6.3.2.2</t>
  </si>
  <si>
    <t>2.6.3.2.3</t>
  </si>
  <si>
    <t>2.6.3.2.4</t>
  </si>
  <si>
    <t>2.6.3.2.5</t>
  </si>
  <si>
    <t>2.6.3.2.6</t>
  </si>
  <si>
    <t>2.6.3.2.7</t>
  </si>
  <si>
    <t>2.6.3.4</t>
  </si>
  <si>
    <t>2.6.3.3</t>
  </si>
  <si>
    <t>2.6.3.3.1</t>
  </si>
  <si>
    <t>2.6.3.3.2</t>
  </si>
  <si>
    <t>2.6.3.3.3</t>
  </si>
  <si>
    <t>2.6.3.3.4</t>
  </si>
  <si>
    <t>2.6.3.3.5</t>
  </si>
  <si>
    <t>2.6.3.3.6</t>
  </si>
  <si>
    <t>2.6.3.3.7</t>
  </si>
  <si>
    <t>2.6.3.4.1</t>
  </si>
  <si>
    <t>2.6.3.4.2</t>
  </si>
  <si>
    <t>2.6.3.4.3</t>
  </si>
  <si>
    <t>2.6.3.4.4</t>
  </si>
  <si>
    <t>2.6.3.4.5</t>
  </si>
  <si>
    <t>2.6.3.4.6</t>
  </si>
  <si>
    <t>2.6.3.4.7</t>
  </si>
  <si>
    <t>2.6.3.4.8</t>
  </si>
  <si>
    <t>2.6.3.4.9</t>
  </si>
  <si>
    <t>2.6.3.4.10</t>
  </si>
  <si>
    <t>2.6.3.4.11</t>
  </si>
  <si>
    <t>2.6.3.4.12</t>
  </si>
  <si>
    <t>2.6.3.4.13</t>
  </si>
  <si>
    <t>2.6.3.5</t>
  </si>
  <si>
    <t>2.6.3.5.1</t>
  </si>
  <si>
    <t>2.6.3.5.2</t>
  </si>
  <si>
    <t>2.6.3.5.3</t>
  </si>
  <si>
    <t>2.6.3.5.4</t>
  </si>
  <si>
    <t>2.6.3.5.5</t>
  </si>
  <si>
    <t>2.6.3.5.6</t>
  </si>
  <si>
    <t>2.6.3.5.7</t>
  </si>
  <si>
    <t>2.6.3.5.8</t>
  </si>
  <si>
    <t>2.6.3.5.9</t>
  </si>
  <si>
    <t>2.6.3.5.10</t>
  </si>
  <si>
    <t>2.6.3.5.11</t>
  </si>
  <si>
    <t>2.6.3.5.12</t>
  </si>
  <si>
    <t>2.6.3.5.13</t>
  </si>
  <si>
    <t>2.6.3.5.14</t>
  </si>
  <si>
    <t xml:space="preserve">Устройство сопряжения </t>
  </si>
  <si>
    <t>2.11.7</t>
  </si>
  <si>
    <t>2.11.7.1</t>
  </si>
  <si>
    <t>2.11.7.2</t>
  </si>
  <si>
    <t>2.11.8</t>
  </si>
  <si>
    <t>2.11.8.1</t>
  </si>
  <si>
    <t>Устройство легкой насыпи из вспененного полистирола</t>
  </si>
  <si>
    <t>Устройство застенного дренажа</t>
  </si>
  <si>
    <t xml:space="preserve">Устройство монолитных ж/б лежней </t>
  </si>
  <si>
    <t>Устройство монолитных жб переходных плит</t>
  </si>
  <si>
    <t xml:space="preserve">Устройство основания проезжей части из ЩПС </t>
  </si>
  <si>
    <t xml:space="preserve">Укрепление обочины </t>
  </si>
  <si>
    <t>база смета</t>
  </si>
  <si>
    <t>база электроэнергия</t>
  </si>
  <si>
    <t>2.3.2.2.7</t>
  </si>
  <si>
    <t>Устройство буронабивных свай</t>
  </si>
  <si>
    <t>плата за негатив.</t>
  </si>
  <si>
    <t>1.4</t>
  </si>
  <si>
    <t>1.4.1</t>
  </si>
  <si>
    <t>Переустройство электрических сетей</t>
  </si>
  <si>
    <t xml:space="preserve">Переустройство сетей водоснабжения </t>
  </si>
  <si>
    <t xml:space="preserve">Организация и безопасность движения на период строительства 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</si>
  <si>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</si>
  <si>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</si>
  <si>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</si>
  <si>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</si>
  <si>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</si>
  <si>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</si>
  <si>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</si>
  <si>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</si>
  <si>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</si>
  <si>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</si>
  <si>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</si>
  <si>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</si>
  <si>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</si>
  <si>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</si>
  <si>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</si>
  <si>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</si>
  <si>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</si>
  <si>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</si>
  <si>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</si>
  <si>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</si>
  <si>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</si>
  <si>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</si>
  <si>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</si>
  <si>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</si>
  <si>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</si>
  <si>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</si>
  <si>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</si>
  <si>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</si>
  <si>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</si>
  <si>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</si>
  <si>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</si>
  <si>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</si>
  <si>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</si>
  <si>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</si>
  <si>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2.14</t>
  </si>
  <si>
    <t>Устройство ливневой канализации</t>
  </si>
  <si>
    <t>Раздел 6. Пересечения и примыкания</t>
  </si>
  <si>
    <t>2.14.1</t>
  </si>
  <si>
    <t>2.14.2</t>
  </si>
  <si>
    <t>2.14.3</t>
  </si>
  <si>
    <t>2.14.4</t>
  </si>
  <si>
    <t>2.14.5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</si>
  <si>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</si>
  <si>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</si>
  <si>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</si>
  <si>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</si>
  <si>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</si>
  <si>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</si>
  <si>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</si>
  <si>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</si>
  <si>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</si>
  <si>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</si>
  <si>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</si>
  <si>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</si>
  <si>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</si>
  <si>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</si>
  <si>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</si>
  <si>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</si>
  <si>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</si>
  <si>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</si>
  <si>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</si>
  <si>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</si>
  <si>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</si>
  <si>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</si>
  <si>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</si>
  <si>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</si>
  <si>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</si>
  <si>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</si>
  <si>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</si>
  <si>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</si>
  <si>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</si>
  <si>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</si>
  <si>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4.4.2</t>
  </si>
  <si>
    <t>4.4.3</t>
  </si>
  <si>
    <t>4.4.4</t>
  </si>
  <si>
    <t>4.4.5</t>
  </si>
  <si>
    <t>1.4.1.1</t>
  </si>
  <si>
    <t>1.4.1.2</t>
  </si>
  <si>
    <t>1.4.1.3</t>
  </si>
  <si>
    <t>1.4.1.4</t>
  </si>
  <si>
    <t>1.4.1.5</t>
  </si>
  <si>
    <t>1.4.1.6</t>
  </si>
  <si>
    <t>1.4.1.7</t>
  </si>
  <si>
    <t>1.4.1.8</t>
  </si>
  <si>
    <t>1.4.1.9</t>
  </si>
  <si>
    <t>1.4.1.10</t>
  </si>
  <si>
    <t>1.4.1.11</t>
  </si>
  <si>
    <t>1.4.1.12</t>
  </si>
  <si>
    <t>1.4.1.13</t>
  </si>
  <si>
    <t>1.4.1.14</t>
  </si>
  <si>
    <t>1.4.1.15</t>
  </si>
  <si>
    <t>1.4.1.16</t>
  </si>
  <si>
    <t>1.4.1.17</t>
  </si>
  <si>
    <t>1.4.1.18</t>
  </si>
  <si>
    <t>1.4.2</t>
  </si>
  <si>
    <t>1.4.2.1</t>
  </si>
  <si>
    <t>1.4.2.1.1</t>
  </si>
  <si>
    <t>1.4.2.1.2</t>
  </si>
  <si>
    <t>1.4.2.1.3</t>
  </si>
  <si>
    <t>1.4.2.1.4</t>
  </si>
  <si>
    <t>1.4.2.1.5</t>
  </si>
  <si>
    <t>1.4.2.1.6</t>
  </si>
  <si>
    <t>1.4.2.2</t>
  </si>
  <si>
    <t>1.4.2.2.1</t>
  </si>
  <si>
    <t>1.4.2.2.2</t>
  </si>
  <si>
    <t>1.4.2.3</t>
  </si>
  <si>
    <t>1.4.2.3.1</t>
  </si>
  <si>
    <t>1.4.2.3.2</t>
  </si>
  <si>
    <t>1.4.3</t>
  </si>
  <si>
    <t>1.4.3.1</t>
  </si>
  <si>
    <t>1.4.3.2</t>
  </si>
  <si>
    <t>1.4.3.3</t>
  </si>
  <si>
    <t>1.4.3.4</t>
  </si>
  <si>
    <t>1.5</t>
  </si>
  <si>
    <t>1.7.1</t>
  </si>
  <si>
    <t>1.8.1.1</t>
  </si>
  <si>
    <t>1.8.1.2</t>
  </si>
  <si>
    <t>1.8.1.3</t>
  </si>
  <si>
    <t>1.8.1.4</t>
  </si>
  <si>
    <t>1.8.1.5</t>
  </si>
  <si>
    <t>1.8.1.6</t>
  </si>
  <si>
    <t>1.8.1.7</t>
  </si>
  <si>
    <t>1.8.1.8</t>
  </si>
  <si>
    <t>1.8.1.9</t>
  </si>
  <si>
    <t>1.8.1.10</t>
  </si>
  <si>
    <t>1.8.1.11</t>
  </si>
  <si>
    <t>1.8.1.12</t>
  </si>
  <si>
    <t>1.8.1.13</t>
  </si>
  <si>
    <t>1.8.1.14</t>
  </si>
  <si>
    <t>1.8.1.15</t>
  </si>
  <si>
    <t>1.8.1.16</t>
  </si>
  <si>
    <t>1.8.1.17</t>
  </si>
  <si>
    <t>1.8.1.18</t>
  </si>
  <si>
    <t>1.8.1.19</t>
  </si>
  <si>
    <t>1.8.1.20</t>
  </si>
  <si>
    <t>1.8.1.21</t>
  </si>
  <si>
    <t>1.8.1.22</t>
  </si>
  <si>
    <t>1.8.1.23</t>
  </si>
  <si>
    <t>1.8.1.24</t>
  </si>
  <si>
    <t>1.8.1.25</t>
  </si>
  <si>
    <t>1.8.1.26</t>
  </si>
  <si>
    <t>1.8.1.27</t>
  </si>
  <si>
    <t>1.8.1.28</t>
  </si>
  <si>
    <t>1.8.1.29</t>
  </si>
  <si>
    <t>1.8.1.30</t>
  </si>
  <si>
    <t>1.8.1.31</t>
  </si>
  <si>
    <t>1.8.1.32</t>
  </si>
  <si>
    <t>1.10.2</t>
  </si>
  <si>
    <t>1.10.2.1</t>
  </si>
  <si>
    <t>1.10.2.2</t>
  </si>
  <si>
    <t>1.10.2.3</t>
  </si>
  <si>
    <t>1.11.2</t>
  </si>
  <si>
    <t>1.11.3</t>
  </si>
  <si>
    <t>1.11.4</t>
  </si>
  <si>
    <t>1.11.5</t>
  </si>
  <si>
    <t>1.12.3</t>
  </si>
  <si>
    <t>Устройство дренажной трубы, диаметром 160 мм</t>
  </si>
  <si>
    <t>Размещение непригодного грунта</t>
  </si>
  <si>
    <t>Геодезические разбивочные работы. Искусственные сооружения.</t>
  </si>
  <si>
    <t>Монтаж БРП 1.2 Строительная часть</t>
  </si>
  <si>
    <t>Монтаж БРП 2.2 Строительная часть</t>
  </si>
  <si>
    <t>Пусконаладочные работы. Наружное освещение</t>
  </si>
  <si>
    <t>Пусконаладочные работы. ЛЭП 0,4-10 кВ</t>
  </si>
  <si>
    <t>Пусконаладочные работы. ЛЭП 35-110 кВ</t>
  </si>
  <si>
    <t>Пусконаладочные работы. ЛЭП 220-330 кВ</t>
  </si>
  <si>
    <t xml:space="preserve">Пусконаладочные работы. Линии электроснабжения. </t>
  </si>
  <si>
    <t>Пусконаладочные работы. ТП</t>
  </si>
  <si>
    <t xml:space="preserve">Пусконаладочные работы. ЛОС №1  </t>
  </si>
  <si>
    <t>Пусконаладочные работы. ЛОС №2</t>
  </si>
  <si>
    <t>Пусконаладочные работы. ЛОС №3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</si>
  <si>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</si>
  <si>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</si>
  <si>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</si>
  <si>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</si>
  <si>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</si>
  <si>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</si>
  <si>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</si>
  <si>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</si>
  <si>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</si>
  <si>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</si>
  <si>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</si>
  <si>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</si>
  <si>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Мероприятия по обеспечению транспортной безопасности. Путепровод на ПК 9+45 в составе ТР №1</t>
  </si>
  <si>
    <t>Мероприятия по обеспечению транспортной безопасности. Путепровод через а/д т.к. на ПК 92+27</t>
  </si>
  <si>
    <t>Мероприятия по обеспечению транспортной безопасности. Мост через балку Малый Салгир на ПК 133+04</t>
  </si>
  <si>
    <t>Мероприятия по обеспечению транспортной безопасности. ВОЛС</t>
  </si>
  <si>
    <t>Мероприятия по обеспечению транспортной безопасности. Здание ПУОТБ на ПК9+45. 1 этап</t>
  </si>
  <si>
    <t>Мероприятия по обеспечению транспортной безопасности. Устройство пожарного резервуара на ПК9+45</t>
  </si>
  <si>
    <t>Мероприятия по обеспечению транспортной безопасности. Площадка для пожарных резервуаров на ПК 9+45</t>
  </si>
  <si>
    <t>Мероприятия по обеспечению транспортной безопасности. Площадка для разворота пожарной техники на ПК 9+45</t>
  </si>
  <si>
    <t>Мероприятия по обеспечению транспортной безопасности. Площадка для ПУОТБ на ПК 9+45</t>
  </si>
  <si>
    <t>Мероприятия по обеспечению транспортной безопасности. Электроснабжение ПУОТБ</t>
  </si>
  <si>
    <t>Мероприятия по обеспечению транспортной безопасности на период производства работ. Путепровод на ПК 9+45 в составе ТР №1</t>
  </si>
  <si>
    <t>Мероприятия по обеспечению транспортной безопасности на период производства работ. Мост через балку Малый Салгир на ПК 133+04</t>
  </si>
  <si>
    <t>Мероприятия по обеспечению транспортной безопасности на период производства работ. Путепровод через а/д т.к. на ПК 92+27</t>
  </si>
  <si>
    <t>Затраты на размещение, обезвреж. Отходов</t>
  </si>
  <si>
    <t>Устройство водопропускных труб металлических гофрированных двухочковых, диаметром 2х2,0 м</t>
  </si>
  <si>
    <t>Устройство водопропускных труб металлических гофрированных трехочковых, диаметром 3х2,0 м</t>
  </si>
  <si>
    <t xml:space="preserve">Раздел 3. Искусственные сооружения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</si>
</sst>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-;\-* #,##0.00_-;_-* &quot;-&quot;??_-;_-@_-"/>
    <numFmt numFmtId="166" formatCode="0_)"/>
    <numFmt numFmtId="167" formatCode="#,##0.0000000000"/>
    <numFmt numFmtId="168" formatCode="#,##0.000000000000"/>
    <numFmt numFmtId="169" formatCode="#,##0.00000"/>
    <numFmt numFmtId="170" formatCode="#,##0.0"/>
    <numFmt numFmtId="171" formatCode="#,##0.000"/>
    <numFmt numFmtId="172" formatCode="#,##0.00_ ;\-#,##0.00\ "/>
    <numFmt numFmtId="173" formatCode="0.0000000000"/>
    <numFmt numFmtId="174" formatCode="0.00000000000"/>
    <numFmt numFmtId="175" formatCode="#,##0.000000"/>
    <numFmt numFmtId="176" formatCode="#,##0.0000000"/>
    <numFmt numFmtId="177" formatCode="#,##0.0000000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i/>
      <sz val="9"/>
      <color rgb="FF7030A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6">
    <xf numFmtId="0" fontId="0" fillId="0" borderId="0"/>
    <xf numFmtId="0" fontId="1" fillId="0" borderId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>
      <alignment vertical="top"/>
      <protection locked="0"/>
    </xf>
    <xf numFmtId="0" fontId="3" fillId="0" borderId="0"/>
    <xf numFmtId="0" fontId="7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5" fillId="0" borderId="0"/>
    <xf numFmtId="0" fontId="3" fillId="0" borderId="0"/>
    <xf numFmtId="165" fontId="10" fillId="0" borderId="0" applyFont="0" applyFill="0" applyBorder="0" applyAlignment="0" applyProtection="0"/>
    <xf numFmtId="166" fontId="11" fillId="0" borderId="0"/>
    <xf numFmtId="166" fontId="11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7">
    <xf numFmtId="0" fontId="0" fillId="0" borderId="0" xfId="0"/>
    <xf numFmtId="0" fontId="14" fillId="0" borderId="0" xfId="0" applyFont="1" applyFill="1"/>
    <xf numFmtId="164" fontId="14" fillId="0" borderId="0" xfId="25" applyFont="1" applyFill="1"/>
    <xf numFmtId="0" fontId="17" fillId="0" borderId="1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25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2" fillId="0" borderId="1" xfId="25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 wrapText="1"/>
    </xf>
    <xf numFmtId="3" fontId="12" fillId="0" borderId="1" xfId="25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14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0" fontId="13" fillId="0" borderId="1" xfId="16" applyFont="1" applyFill="1" applyBorder="1" applyAlignment="1">
      <alignment horizontal="left" vertical="center" wrapText="1"/>
    </xf>
    <xf numFmtId="49" fontId="13" fillId="0" borderId="1" xfId="16" applyNumberFormat="1" applyFont="1" applyFill="1" applyBorder="1" applyAlignment="1">
      <alignment horizontal="center" vertical="center"/>
    </xf>
    <xf numFmtId="4" fontId="12" fillId="0" borderId="1" xfId="16" applyNumberFormat="1" applyFont="1" applyFill="1" applyBorder="1" applyAlignment="1">
      <alignment horizontal="center" vertical="center" wrapText="1"/>
    </xf>
    <xf numFmtId="2" fontId="12" fillId="0" borderId="1" xfId="16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3" fillId="0" borderId="1" xfId="25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2" fillId="0" borderId="1" xfId="33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3" fontId="12" fillId="0" borderId="1" xfId="33" applyNumberFormat="1" applyFont="1" applyFill="1" applyBorder="1" applyAlignment="1">
      <alignment horizontal="center" vertical="center"/>
    </xf>
    <xf numFmtId="3" fontId="13" fillId="0" borderId="1" xfId="16" applyNumberFormat="1" applyFont="1" applyFill="1" applyBorder="1" applyAlignment="1">
      <alignment horizontal="center" vertical="center" wrapText="1"/>
    </xf>
    <xf numFmtId="4" fontId="13" fillId="0" borderId="7" xfId="33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64" fontId="13" fillId="0" borderId="0" xfId="25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2" fillId="0" borderId="1" xfId="26" applyNumberFormat="1" applyFont="1" applyFill="1" applyBorder="1" applyAlignment="1">
      <alignment horizontal="center" vertical="center"/>
    </xf>
    <xf numFmtId="4" fontId="12" fillId="0" borderId="1" xfId="26" applyNumberFormat="1" applyFont="1" applyFill="1" applyBorder="1" applyAlignment="1">
      <alignment horizontal="center" vertical="center"/>
    </xf>
    <xf numFmtId="0" fontId="12" fillId="0" borderId="1" xfId="27" applyFont="1" applyFill="1" applyBorder="1" applyAlignment="1">
      <alignment horizontal="center" vertical="center"/>
    </xf>
    <xf numFmtId="4" fontId="12" fillId="0" borderId="1" xfId="27" applyNumberFormat="1" applyFont="1" applyFill="1" applyBorder="1" applyAlignment="1">
      <alignment horizontal="center" vertical="center" wrapText="1"/>
    </xf>
    <xf numFmtId="3" fontId="12" fillId="0" borderId="1" xfId="27" applyNumberFormat="1" applyFont="1" applyFill="1" applyBorder="1" applyAlignment="1">
      <alignment horizontal="right" vertical="center" wrapText="1"/>
    </xf>
    <xf numFmtId="49" fontId="13" fillId="0" borderId="1" xfId="27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18" applyNumberFormat="1" applyFont="1" applyFill="1" applyBorder="1" applyAlignment="1">
      <alignment horizontal="center" vertical="center" wrapText="1"/>
    </xf>
    <xf numFmtId="4" fontId="12" fillId="0" borderId="1" xfId="25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" xfId="14" applyFont="1" applyFill="1" applyBorder="1" applyAlignment="1">
      <alignment horizontal="left" vertical="center" wrapText="1"/>
    </xf>
    <xf numFmtId="0" fontId="13" fillId="2" borderId="1" xfId="14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2" fillId="0" borderId="0" xfId="14" applyFont="1" applyFill="1" applyBorder="1" applyAlignment="1">
      <alignment horizontal="left" vertical="center" wrapText="1"/>
    </xf>
    <xf numFmtId="3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3" fontId="13" fillId="0" borderId="5" xfId="3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16" applyNumberFormat="1" applyFont="1" applyFill="1" applyBorder="1" applyAlignment="1">
      <alignment horizontal="center" vertical="center"/>
    </xf>
    <xf numFmtId="4" fontId="12" fillId="0" borderId="1" xfId="28" applyNumberFormat="1" applyFont="1" applyFill="1" applyBorder="1" applyAlignment="1">
      <alignment horizontal="center" vertical="center"/>
    </xf>
    <xf numFmtId="171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left" vertical="center" wrapText="1"/>
    </xf>
    <xf numFmtId="49" fontId="12" fillId="0" borderId="1" xfId="27" applyNumberFormat="1" applyFont="1" applyFill="1" applyBorder="1" applyAlignment="1">
      <alignment horizontal="center" vertical="center"/>
    </xf>
    <xf numFmtId="0" fontId="12" fillId="0" borderId="1" xfId="18" applyFont="1" applyFill="1" applyBorder="1" applyAlignment="1">
      <alignment horizontal="center" vertical="center"/>
    </xf>
    <xf numFmtId="49" fontId="12" fillId="0" borderId="1" xfId="18" applyNumberFormat="1" applyFont="1" applyFill="1" applyBorder="1" applyAlignment="1">
      <alignment horizontal="center" vertical="center"/>
    </xf>
    <xf numFmtId="4" fontId="12" fillId="0" borderId="1" xfId="35" applyNumberFormat="1" applyFont="1" applyFill="1" applyBorder="1" applyAlignment="1">
      <alignment horizontal="center" vertical="center"/>
    </xf>
    <xf numFmtId="3" fontId="12" fillId="0" borderId="1" xfId="35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center"/>
    </xf>
    <xf numFmtId="0" fontId="12" fillId="0" borderId="0" xfId="0" applyFont="1" applyFill="1"/>
    <xf numFmtId="164" fontId="14" fillId="0" borderId="0" xfId="0" applyNumberFormat="1" applyFont="1" applyFill="1"/>
    <xf numFmtId="4" fontId="14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3" fontId="16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64" fontId="18" fillId="0" borderId="0" xfId="25" applyFont="1" applyFill="1"/>
    <xf numFmtId="164" fontId="15" fillId="0" borderId="0" xfId="25" applyFont="1" applyFill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25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2" fillId="2" borderId="1" xfId="16" applyFont="1" applyFill="1" applyBorder="1" applyAlignment="1">
      <alignment horizontal="center" vertical="center" wrapText="1"/>
    </xf>
    <xf numFmtId="2" fontId="13" fillId="2" borderId="1" xfId="16" applyNumberFormat="1" applyFont="1" applyFill="1" applyBorder="1" applyAlignment="1">
      <alignment horizontal="center" vertical="center" wrapText="1"/>
    </xf>
    <xf numFmtId="4" fontId="12" fillId="2" borderId="1" xfId="25" applyNumberFormat="1" applyFont="1" applyFill="1" applyBorder="1" applyAlignment="1">
      <alignment horizontal="center" vertical="center"/>
    </xf>
    <xf numFmtId="3" fontId="12" fillId="2" borderId="1" xfId="25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25" applyNumberFormat="1" applyFont="1" applyFill="1" applyBorder="1" applyAlignment="1">
      <alignment horizontal="center" vertical="center"/>
    </xf>
    <xf numFmtId="49" fontId="13" fillId="2" borderId="1" xfId="16" applyNumberFormat="1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1" xfId="25" applyNumberFormat="1" applyFont="1" applyFill="1" applyBorder="1" applyAlignment="1">
      <alignment horizontal="center" vertical="center" wrapText="1"/>
    </xf>
    <xf numFmtId="4" fontId="13" fillId="2" borderId="1" xfId="25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27" applyNumberFormat="1" applyFont="1" applyFill="1" applyBorder="1" applyAlignment="1">
      <alignment horizontal="center" vertical="center"/>
    </xf>
    <xf numFmtId="0" fontId="12" fillId="2" borderId="1" xfId="27" applyFont="1" applyFill="1" applyBorder="1" applyAlignment="1">
      <alignment horizontal="center" vertical="center"/>
    </xf>
    <xf numFmtId="4" fontId="13" fillId="2" borderId="1" xfId="27" applyNumberFormat="1" applyFont="1" applyFill="1" applyBorder="1" applyAlignment="1">
      <alignment horizontal="center" vertical="center"/>
    </xf>
    <xf numFmtId="4" fontId="12" fillId="2" borderId="1" xfId="26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164" fontId="22" fillId="0" borderId="0" xfId="25" applyFont="1" applyFill="1"/>
    <xf numFmtId="164" fontId="21" fillId="0" borderId="0" xfId="25" applyFont="1" applyFill="1"/>
    <xf numFmtId="3" fontId="12" fillId="4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7" fillId="5" borderId="2" xfId="3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16" applyNumberFormat="1" applyFont="1" applyFill="1" applyBorder="1" applyAlignment="1">
      <alignment horizontal="center" vertical="center" wrapText="1"/>
    </xf>
    <xf numFmtId="3" fontId="12" fillId="0" borderId="1" xfId="18" applyNumberFormat="1" applyFont="1" applyFill="1" applyBorder="1" applyAlignment="1">
      <alignment horizontal="center" vertical="center" wrapText="1"/>
    </xf>
    <xf numFmtId="3" fontId="12" fillId="0" borderId="1" xfId="27" applyNumberFormat="1" applyFont="1" applyFill="1" applyBorder="1" applyAlignment="1">
      <alignment horizontal="center" vertical="center" wrapText="1"/>
    </xf>
    <xf numFmtId="171" fontId="12" fillId="2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/>
    <xf numFmtId="0" fontId="17" fillId="4" borderId="2" xfId="3" applyFont="1" applyFill="1" applyBorder="1" applyAlignment="1">
      <alignment horizontal="center" vertical="center" wrapText="1"/>
    </xf>
    <xf numFmtId="164" fontId="12" fillId="0" borderId="0" xfId="25" applyFont="1" applyFill="1"/>
    <xf numFmtId="164" fontId="14" fillId="0" borderId="0" xfId="25" applyFont="1" applyFill="1" applyAlignment="1">
      <alignment horizontal="center"/>
    </xf>
    <xf numFmtId="3" fontId="12" fillId="7" borderId="1" xfId="0" applyNumberFormat="1" applyFont="1" applyFill="1" applyBorder="1" applyAlignment="1">
      <alignment horizontal="center" vertical="center" wrapText="1"/>
    </xf>
    <xf numFmtId="3" fontId="13" fillId="8" borderId="1" xfId="0" applyNumberFormat="1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173" fontId="17" fillId="5" borderId="1" xfId="3" applyNumberFormat="1" applyFont="1" applyFill="1" applyBorder="1" applyAlignment="1">
      <alignment horizontal="center" vertical="center" wrapText="1"/>
    </xf>
    <xf numFmtId="174" fontId="17" fillId="9" borderId="2" xfId="3" applyNumberFormat="1" applyFont="1" applyFill="1" applyBorder="1" applyAlignment="1">
      <alignment horizontal="center" vertical="center" wrapText="1"/>
    </xf>
    <xf numFmtId="168" fontId="17" fillId="8" borderId="1" xfId="0" applyNumberFormat="1" applyFont="1" applyFill="1" applyBorder="1" applyAlignment="1">
      <alignment horizontal="center" vertical="center" wrapText="1"/>
    </xf>
    <xf numFmtId="3" fontId="12" fillId="6" borderId="1" xfId="25" applyNumberFormat="1" applyFont="1" applyFill="1" applyBorder="1" applyAlignment="1">
      <alignment horizontal="center" vertical="center"/>
    </xf>
    <xf numFmtId="3" fontId="12" fillId="4" borderId="1" xfId="25" applyNumberFormat="1" applyFont="1" applyFill="1" applyBorder="1" applyAlignment="1">
      <alignment horizontal="center" vertical="center"/>
    </xf>
    <xf numFmtId="164" fontId="17" fillId="9" borderId="2" xfId="25" applyFont="1" applyFill="1" applyBorder="1" applyAlignment="1">
      <alignment horizontal="center" vertical="center" wrapText="1"/>
    </xf>
    <xf numFmtId="164" fontId="17" fillId="8" borderId="1" xfId="25" applyFont="1" applyFill="1" applyBorder="1" applyAlignment="1">
      <alignment horizontal="center" vertical="center" wrapText="1"/>
    </xf>
    <xf numFmtId="164" fontId="20" fillId="4" borderId="1" xfId="25" applyFont="1" applyFill="1" applyBorder="1" applyAlignment="1">
      <alignment horizontal="center" vertical="center" wrapText="1"/>
    </xf>
    <xf numFmtId="164" fontId="12" fillId="7" borderId="1" xfId="25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164" fontId="16" fillId="0" borderId="0" xfId="25" applyFont="1" applyFill="1"/>
    <xf numFmtId="3" fontId="12" fillId="10" borderId="1" xfId="25" applyNumberFormat="1" applyFont="1" applyFill="1" applyBorder="1" applyAlignment="1">
      <alignment horizontal="center" vertical="center"/>
    </xf>
    <xf numFmtId="4" fontId="13" fillId="0" borderId="1" xfId="25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12" fillId="10" borderId="1" xfId="16" applyFont="1" applyFill="1" applyBorder="1" applyAlignment="1">
      <alignment horizontal="left" vertical="center" wrapText="1"/>
    </xf>
    <xf numFmtId="164" fontId="20" fillId="4" borderId="0" xfId="25" applyFont="1" applyFill="1" applyBorder="1" applyAlignment="1">
      <alignment horizontal="center" vertical="center" wrapText="1"/>
    </xf>
    <xf numFmtId="164" fontId="17" fillId="9" borderId="0" xfId="25" applyFont="1" applyFill="1" applyBorder="1" applyAlignment="1">
      <alignment horizontal="center" vertical="center" wrapText="1"/>
    </xf>
    <xf numFmtId="164" fontId="17" fillId="8" borderId="0" xfId="25" applyFont="1" applyFill="1" applyBorder="1" applyAlignment="1">
      <alignment horizontal="center" vertical="center" wrapText="1"/>
    </xf>
    <xf numFmtId="164" fontId="12" fillId="7" borderId="0" xfId="25" applyFont="1" applyFill="1" applyBorder="1" applyAlignment="1">
      <alignment horizontal="center" vertical="center" wrapText="1"/>
    </xf>
    <xf numFmtId="167" fontId="17" fillId="12" borderId="1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/>
    </xf>
    <xf numFmtId="49" fontId="12" fillId="11" borderId="1" xfId="0" applyNumberFormat="1" applyFont="1" applyFill="1" applyBorder="1" applyAlignment="1">
      <alignment horizontal="center" vertical="center"/>
    </xf>
    <xf numFmtId="0" fontId="12" fillId="2" borderId="1" xfId="16" applyFont="1" applyFill="1" applyBorder="1" applyAlignment="1">
      <alignment horizontal="left" vertical="center" wrapText="1"/>
    </xf>
    <xf numFmtId="0" fontId="12" fillId="2" borderId="1" xfId="14" applyFont="1" applyFill="1" applyBorder="1" applyAlignment="1">
      <alignment horizontal="left" vertical="center" wrapText="1"/>
    </xf>
    <xf numFmtId="174" fontId="17" fillId="0" borderId="3" xfId="3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3" fontId="24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171" fontId="12" fillId="0" borderId="1" xfId="2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2" xfId="3" applyNumberFormat="1" applyFont="1" applyFill="1" applyBorder="1" applyAlignment="1">
      <alignment horizontal="center"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4" fontId="13" fillId="0" borderId="5" xfId="3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4" fontId="13" fillId="0" borderId="1" xfId="3" applyNumberFormat="1" applyFont="1" applyFill="1" applyBorder="1" applyAlignment="1">
      <alignment horizontal="center" vertical="center" wrapText="1"/>
    </xf>
    <xf numFmtId="4" fontId="13" fillId="0" borderId="2" xfId="3" applyNumberFormat="1" applyFont="1" applyFill="1" applyBorder="1" applyAlignment="1">
      <alignment horizontal="center" vertical="top" wrapText="1"/>
    </xf>
    <xf numFmtId="4" fontId="13" fillId="0" borderId="3" xfId="3" applyNumberFormat="1" applyFont="1" applyFill="1" applyBorder="1" applyAlignment="1">
      <alignment horizontal="center" vertical="top" wrapText="1"/>
    </xf>
    <xf numFmtId="4" fontId="13" fillId="0" borderId="5" xfId="3" applyNumberFormat="1" applyFont="1" applyFill="1" applyBorder="1" applyAlignment="1">
      <alignment horizontal="center" vertical="top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7" fillId="4" borderId="2" xfId="3" applyNumberFormat="1" applyFont="1" applyFill="1" applyBorder="1" applyAlignment="1">
      <alignment horizontal="center" vertical="center" wrapText="1"/>
    </xf>
    <xf numFmtId="173" fontId="17" fillId="4" borderId="5" xfId="3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175" fontId="17" fillId="4" borderId="1" xfId="0" applyNumberFormat="1" applyFont="1" applyFill="1" applyBorder="1" applyAlignment="1">
      <alignment horizontal="center" vertical="center" wrapText="1"/>
    </xf>
    <xf numFmtId="169" fontId="12" fillId="0" borderId="1" xfId="16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172" fontId="12" fillId="0" borderId="1" xfId="29" applyNumberFormat="1" applyFont="1" applyFill="1" applyBorder="1" applyAlignment="1">
      <alignment horizontal="center" vertical="center"/>
    </xf>
    <xf numFmtId="0" fontId="12" fillId="0" borderId="6" xfId="31" applyFont="1" applyFill="1" applyBorder="1" applyAlignment="1">
      <alignment vertical="top" wrapText="1"/>
    </xf>
    <xf numFmtId="4" fontId="13" fillId="0" borderId="1" xfId="16" applyNumberFormat="1" applyFont="1" applyFill="1" applyBorder="1" applyAlignment="1">
      <alignment horizontal="center" vertical="center" wrapText="1"/>
    </xf>
    <xf numFmtId="170" fontId="12" fillId="0" borderId="1" xfId="16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25" applyNumberFormat="1" applyFont="1" applyFill="1" applyBorder="1" applyAlignment="1">
      <alignment horizontal="center" vertical="center" wrapText="1"/>
    </xf>
    <xf numFmtId="177" fontId="13" fillId="0" borderId="1" xfId="25" applyNumberFormat="1" applyFont="1" applyFill="1" applyBorder="1" applyAlignment="1">
      <alignment horizontal="center" vertical="center" wrapText="1"/>
    </xf>
    <xf numFmtId="3" fontId="12" fillId="0" borderId="1" xfId="25" applyNumberFormat="1" applyFont="1" applyFill="1" applyBorder="1" applyAlignment="1">
      <alignment horizontal="center" vertical="center" wrapText="1"/>
    </xf>
    <xf numFmtId="3" fontId="13" fillId="0" borderId="1" xfId="2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176" fontId="13" fillId="0" borderId="1" xfId="2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3" fontId="12" fillId="11" borderId="1" xfId="25" applyNumberFormat="1" applyFont="1" applyFill="1" applyBorder="1" applyAlignment="1">
      <alignment horizontal="center" vertical="center" wrapText="1"/>
    </xf>
    <xf numFmtId="4" fontId="13" fillId="0" borderId="1" xfId="33" applyNumberFormat="1" applyFont="1" applyFill="1" applyBorder="1" applyAlignment="1">
      <alignment horizontal="center" vertical="center"/>
    </xf>
    <xf numFmtId="3" fontId="12" fillId="10" borderId="1" xfId="2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75" fontId="13" fillId="0" borderId="1" xfId="2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70" fontId="12" fillId="0" borderId="1" xfId="25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center"/>
    </xf>
    <xf numFmtId="170" fontId="12" fillId="10" borderId="1" xfId="25" applyNumberFormat="1" applyFont="1" applyFill="1" applyBorder="1" applyAlignment="1">
      <alignment horizontal="center" vertical="center" wrapText="1"/>
    </xf>
    <xf numFmtId="170" fontId="13" fillId="0" borderId="1" xfId="25" applyNumberFormat="1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4" fontId="13" fillId="0" borderId="1" xfId="27" applyNumberFormat="1" applyFont="1" applyFill="1" applyBorder="1" applyAlignment="1">
      <alignment horizontal="center" vertical="center" wrapText="1"/>
    </xf>
    <xf numFmtId="49" fontId="13" fillId="2" borderId="1" xfId="18" applyNumberFormat="1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left" vertical="center" wrapText="1"/>
    </xf>
    <xf numFmtId="0" fontId="12" fillId="0" borderId="1" xfId="0" applyFont="1" applyFill="1" applyBorder="1"/>
    <xf numFmtId="49" fontId="25" fillId="4" borderId="1" xfId="0" applyNumberFormat="1" applyFont="1" applyFill="1" applyBorder="1" applyAlignment="1">
      <alignment horizontal="center" vertical="center"/>
    </xf>
    <xf numFmtId="0" fontId="25" fillId="4" borderId="1" xfId="14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4" fontId="25" fillId="4" borderId="1" xfId="25" applyNumberFormat="1" applyFont="1" applyFill="1" applyBorder="1" applyAlignment="1">
      <alignment horizontal="center" vertical="center"/>
    </xf>
    <xf numFmtId="3" fontId="25" fillId="4" borderId="1" xfId="25" applyNumberFormat="1" applyFont="1" applyFill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/>
    </xf>
    <xf numFmtId="4" fontId="27" fillId="4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0" fontId="27" fillId="4" borderId="1" xfId="14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horizontal="center" vertical="center" wrapText="1"/>
    </xf>
    <xf numFmtId="4" fontId="27" fillId="4" borderId="1" xfId="25" applyNumberFormat="1" applyFont="1" applyFill="1" applyBorder="1" applyAlignment="1">
      <alignment horizontal="center" vertical="center"/>
    </xf>
    <xf numFmtId="3" fontId="27" fillId="4" borderId="1" xfId="25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64" fontId="12" fillId="0" borderId="1" xfId="25" applyFont="1" applyFill="1" applyBorder="1"/>
    <xf numFmtId="164" fontId="12" fillId="0" borderId="1" xfId="0" applyNumberFormat="1" applyFont="1" applyFill="1" applyBorder="1"/>
    <xf numFmtId="4" fontId="12" fillId="0" borderId="1" xfId="0" applyNumberFormat="1" applyFont="1" applyFill="1" applyBorder="1"/>
  </cellXfs>
  <cellStyles count="36">
    <cellStyle name="Гиперссылка 2" xfId="6"/>
    <cellStyle name="Обычный" xfId="0" builtinId="0"/>
    <cellStyle name="Обычный 10" xfId="18"/>
    <cellStyle name="Обычный 11" xfId="31"/>
    <cellStyle name="Обычный 2" xfId="1"/>
    <cellStyle name="Обычный 2 10" xfId="19"/>
    <cellStyle name="Обычный 2 2" xfId="11"/>
    <cellStyle name="Обычный 2 2 2" xfId="2"/>
    <cellStyle name="Обычный 2 3" xfId="12"/>
    <cellStyle name="Обычный 2 4" xfId="14"/>
    <cellStyle name="Обычный 25" xfId="22"/>
    <cellStyle name="Обычный 25 2" xfId="23"/>
    <cellStyle name="Обычный 3" xfId="7"/>
    <cellStyle name="Обычный 3 2" xfId="9"/>
    <cellStyle name="Обычный 3 3" xfId="24"/>
    <cellStyle name="Обычный 4" xfId="3"/>
    <cellStyle name="Обычный 4 2" xfId="4"/>
    <cellStyle name="Обычный 5" xfId="8"/>
    <cellStyle name="Обычный 6" xfId="5"/>
    <cellStyle name="Обычный 7" xfId="10"/>
    <cellStyle name="Обычный 7 2" xfId="20"/>
    <cellStyle name="Обычный 8" xfId="16"/>
    <cellStyle name="Обычный 9" xfId="17"/>
    <cellStyle name="Обычный 9 2" xfId="27"/>
    <cellStyle name="Процентный 2" xfId="13"/>
    <cellStyle name="Финансовый" xfId="25" builtinId="3"/>
    <cellStyle name="Финансовый 2" xfId="15"/>
    <cellStyle name="Финансовый 2 2" xfId="29"/>
    <cellStyle name="Финансовый 3" xfId="21"/>
    <cellStyle name="Финансовый 4 2 2 2" xfId="34"/>
    <cellStyle name="Финансовый 4 2 2 3" xfId="26"/>
    <cellStyle name="Финансовый 4 2 3" xfId="30"/>
    <cellStyle name="Финансовый 5" xfId="32"/>
    <cellStyle name="Финансовый 6" xfId="35"/>
    <cellStyle name="Финансовый 7" xfId="33"/>
    <cellStyle name="Финансовый 8" xfId="28"/>
  </cellStyles>
  <dxfs count="0"/>
  <tableStyles count="0" defaultTableStyle="TableStyleMedium2" defaultPivotStyle="PivotStyleLight16"/>
  <colors>
    <mruColors>
      <color rgb="FFF07366"/>
      <color rgb="FFCC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73;&#1084;&#1077;&#1085;\2012\0115%20&#1084;&#1086;&#1089;&#1090;\&#1057;%20&#1051;%2014-12-2012\14.12.2012\1.%200115-14-12-2012\9.1%20&#1057;&#1057;&#1056;\&#1055;&#1048;&#1056;%20&#1076;&#1083;&#1103;%200115%2001-10-2012\&#1056;&#1072;&#1073;&#1086;&#1090;&#1072;%20&#1085;&#1072;&#1076;%20&#1055;&#1048;&#1056;\2011-3%20&#1082;&#1074;_&#1057;&#1084;&#1077;&#1090;&#1099;%20&#1055;&#1048;&#1056;_&#1088;&#1072;&#1073;&#1086;&#1095;&#1082;&#1072;\&#1055;&#1048;&#1056;%20&#1046;&#1044;\12-02-02-02%20&#1057;&#1084;&#1077;&#1090;&#1099;%20&#1057;&#1062;&#1041;_\&#1089;&#1084;&#1077;&#1090;&#1072;%20&#1072;&#1076;&#1072;&#1087;&#1090;&#1072;&#1094;&#1080;&#1103;%20&#1055;&#1054;%20&#1044;&#106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pr.ru\stpr-msk\&#1055;&#1088;&#1086;&#1080;&#1079;&#1074;&#1086;&#1076;&#1089;&#1090;&#1074;&#1086;\&#1058;&#1077;&#1082;&#1091;&#1097;&#1080;&#1077;%20&#1086;&#1073;&#1098;&#1077;&#1082;&#1090;&#1099;\&#1057;&#1084;&#1077;&#1090;&#1099;\5-976_&#1045;&#1074;&#1087;&#1072;&#1090;&#1086;&#1088;&#1080;&#1103;\&#1057;&#1057;&#1056;\&#1057;&#1057;&#1056;_&#1057;&#1045;&#1052;_&#1072;&#108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pr.ru\stpr-msk\&#1055;&#1088;&#1086;&#1080;&#1079;&#1074;&#1086;&#1076;&#1089;&#1090;&#1074;&#1086;\&#1058;&#1077;&#1082;&#1091;&#1097;&#1080;&#1077;%20&#1086;&#1073;&#1098;&#1077;&#1082;&#1090;&#1099;\&#1057;&#1084;&#1077;&#1090;&#1099;\5-459-&#1058;&#1056;59_&#1084;1\&#1050;&#1086;&#1085;&#1090;&#1088;&#1072;&#1082;&#1090;&#1085;&#1072;&#1103;\&#1057;&#1057;&#1056;_&#1058;&#1056;59_&#1052;1_&#1072;&#1082;&#1090;_&#1074;&#1099;&#1087;&#1091;&#1089;&#1082;_&#1076;&#1083;&#1103;_&#1088;&#1072;&#1073;&#1086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pr.ru\stpr-msk\&#1055;&#1088;&#1086;&#1080;&#1079;&#1074;&#1086;&#1076;&#1089;&#1090;&#1074;&#1086;\&#1058;&#1077;&#1082;&#1091;&#1097;&#1080;&#1077;%20&#1086;&#1073;&#1098;&#1077;&#1082;&#1090;&#1099;\&#1057;&#1084;&#1077;&#1090;&#1099;\5-459-&#1058;&#1056;59_&#1084;1\&#1057;&#1057;&#1056;\&#1057;&#1057;&#1056;_&#1058;&#1056;59_&#1052;1_&#1072;&#1082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73;&#1084;&#1077;&#1085;\2012\0115%20&#1084;&#1086;&#1089;&#1090;\&#1057;%20&#1051;%2014-12-2012\14.12.2012\1.%200115-14-12-2012\9.1%20&#1057;&#1057;&#1056;\&#1055;&#1048;&#1056;%20&#1076;&#1083;&#1103;%200115%2001-10-2012\&#1056;&#1072;&#1073;&#1086;&#1090;&#1072;%20&#1085;&#1072;&#1076;%20&#1055;&#1048;&#1056;\2011-3%20&#1082;&#1074;_&#1057;&#1084;&#1077;&#1090;&#1099;%20&#1055;&#1048;&#1056;_&#1088;&#1072;&#1073;&#1086;&#1095;&#1082;&#1072;\&#1055;&#1048;&#1056;%20&#1046;&#1044;\12-02-02-02%20&#1057;&#1084;&#1077;&#1090;&#1099;%20&#1057;&#1062;&#1041;_\&#1057;&#1084;&#1077;&#1090;&#1072;%20&#1090;&#1077;&#1093;&#1085;&#1080;&#1095;&#1077;&#1089;&#1082;&#1080;&#1077;%20&#1088;&#1077;&#1096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73;&#1084;&#1077;&#1085;\2012\0115%20&#1084;&#1086;&#1089;&#1090;\&#1057;%20&#1051;%2014-12-2012\14.12.2012\1.%200115-14-12-2012\9.1%20&#1057;&#1057;&#1056;\&#1055;&#1048;&#1056;%20&#1076;&#1083;&#1103;%200115%2001-10-2012\&#1056;&#1072;&#1073;&#1086;&#1090;&#1072;%20&#1085;&#1072;&#1076;%20&#1055;&#1048;&#1056;\2011-3%20&#1082;&#1074;_&#1057;&#1084;&#1077;&#1090;&#1099;%20&#1055;&#1048;&#1056;_&#1088;&#1072;&#1073;&#1086;&#1095;&#1082;&#1072;\&#1055;&#1048;&#1056;%20&#1046;&#1044;\12-02-02-02%20&#1057;&#1084;&#1077;&#1090;&#1099;%20&#1057;&#1062;&#1041;_\&#1057;&#1084;&#1077;&#1090;&#1099;%20&#1057;&#1074;&#1086;&#1076;&#1085;&#1072;&#1103;%20&#1080;%20&#1057;&#1062;&#1041;%20&#108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Шаблон_блоки"/>
      <sheetName val="Дог_деньги"/>
      <sheetName val="Лист опроса"/>
      <sheetName val="Дог_рас"/>
      <sheetName val="Ф2П"/>
      <sheetName val="Стоим_Тракт"/>
      <sheetName val="Шаблон_Спец1"/>
      <sheetName val="Шаблон_Спец2"/>
      <sheetName val="Шаблон_СпецЭл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 xml:space="preserve">Строительство раздельного пункта и железнодорожного пути необщего пользования филиала «Ростовский» ОАО «Новошахтинский завод нефтепродуктов», с примыканием на перегоне Гниловская – блок-пост 19 км Северо-Кавказской ж.д. </v>
          </cell>
        </row>
        <row r="2">
          <cell r="B2" t="str">
            <v xml:space="preserve"> </v>
          </cell>
        </row>
        <row r="7">
          <cell r="B7">
            <v>14</v>
          </cell>
        </row>
        <row r="11">
          <cell r="B11">
            <v>43</v>
          </cell>
        </row>
        <row r="12">
          <cell r="B12">
            <v>12</v>
          </cell>
        </row>
        <row r="13">
          <cell r="B13">
            <v>31</v>
          </cell>
        </row>
        <row r="24">
          <cell r="B24">
            <v>44</v>
          </cell>
        </row>
        <row r="35">
          <cell r="B35">
            <v>1</v>
          </cell>
        </row>
        <row r="54">
          <cell r="C54">
            <v>19.3</v>
          </cell>
        </row>
        <row r="55">
          <cell r="C55">
            <v>0</v>
          </cell>
        </row>
      </sheetData>
      <sheetData sheetId="4">
        <row r="22">
          <cell r="E22" t="str">
            <v>0,33</v>
          </cell>
          <cell r="I22">
            <v>0.1</v>
          </cell>
        </row>
        <row r="44">
          <cell r="E44" t="str">
            <v>0,23</v>
          </cell>
        </row>
        <row r="63">
          <cell r="E63" t="str">
            <v>0,22</v>
          </cell>
        </row>
        <row r="109">
          <cell r="E109" t="str">
            <v>0,18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труктура_тек"/>
      <sheetName val="Стр_главы"/>
      <sheetName val="врем_зим"/>
      <sheetName val="врем_зим_т"/>
      <sheetName val="ИС_б"/>
      <sheetName val="ИС_т"/>
      <sheetName val="пояснительная"/>
      <sheetName val="Индексы"/>
      <sheetName val="сопостав"/>
      <sheetName val="Сводный 2000"/>
      <sheetName val="Сводный_тек"/>
      <sheetName val="КК"/>
      <sheetName val="9_глава"/>
      <sheetName val="стройконтроль"/>
      <sheetName val="01-01б"/>
      <sheetName val="01-01т"/>
      <sheetName val="01-13б"/>
      <sheetName val="01-13т"/>
      <sheetName val="02-01б"/>
      <sheetName val="02-01т"/>
      <sheetName val="02-02б"/>
      <sheetName val="02-02т"/>
      <sheetName val="08-01б"/>
      <sheetName val="08-01т"/>
      <sheetName val="09-05б"/>
      <sheetName val="09-05т"/>
      <sheetName val="09-06б"/>
      <sheetName val="09-06т"/>
      <sheetName val="09-07б"/>
      <sheetName val="09-07т"/>
      <sheetName val="09-08б"/>
      <sheetName val="09-08т"/>
      <sheetName val="09-17"/>
      <sheetName val="09-18"/>
      <sheetName val="09-19"/>
      <sheetName val="экспертиза"/>
      <sheetName val="Лист1"/>
      <sheetName val="сср_тек_проверка"/>
    </sheetNames>
    <sheetDataSet>
      <sheetData sheetId="0">
        <row r="3">
          <cell r="F3" t="str">
            <v>АО "Институт Стройпроект" МФ том 9.1.1</v>
          </cell>
        </row>
        <row r="4">
          <cell r="F4" t="str">
            <v>АО "Институт Стройпроект" МФ том 9.1.2</v>
          </cell>
        </row>
        <row r="5">
          <cell r="F5" t="str">
            <v>АО "Институт Стройпроект" МФ том 9.1.3</v>
          </cell>
        </row>
        <row r="16">
          <cell r="F16" t="str">
            <v>АО "Институт Стройпроект" НФ том 9.3.1.1.1</v>
          </cell>
        </row>
        <row r="17">
          <cell r="F17" t="str">
            <v>АО "Институт Стройпроект" НФ том 9.3.1.1.2</v>
          </cell>
        </row>
        <row r="18">
          <cell r="F18" t="str">
            <v>АО "Институт Стройпроект" НФ том 9.3.1.1.3</v>
          </cell>
        </row>
        <row r="19">
          <cell r="F19" t="str">
            <v>АО "Институт Стройпроект" НФ том 9.3.1.1.4</v>
          </cell>
        </row>
        <row r="20">
          <cell r="F20" t="str">
            <v>АО "Институт Стройпроект" НФ том 9.3.1.1.5</v>
          </cell>
        </row>
        <row r="21">
          <cell r="F21" t="str">
            <v>АО "Институт Стройпроект" НФ том 9.3.1.1.6</v>
          </cell>
        </row>
        <row r="22">
          <cell r="F22" t="str">
            <v>АО "Институт Стройпроект" НФ том 9.3.1.1.7</v>
          </cell>
        </row>
        <row r="24">
          <cell r="F24" t="str">
            <v>ПИИ "Севзапдорпроект"  9.3.1.2.1</v>
          </cell>
        </row>
        <row r="25">
          <cell r="F25" t="str">
            <v>ПИИ "Севзапдорпроект"  9.3.1.2.2</v>
          </cell>
        </row>
        <row r="26">
          <cell r="F26" t="str">
            <v>ПИИ "Севзапдорпроект"  9.3.1.2.3</v>
          </cell>
        </row>
        <row r="27">
          <cell r="F27" t="str">
            <v>ПИИ "Севзапдорпроект"  9.3.1.2.4</v>
          </cell>
        </row>
        <row r="28">
          <cell r="F28" t="str">
            <v>ПИИ "Севзапдорпроект"  9.3.1.2.5</v>
          </cell>
        </row>
        <row r="29">
          <cell r="F29" t="str">
            <v xml:space="preserve">  </v>
          </cell>
        </row>
        <row r="30">
          <cell r="F30" t="str">
            <v>АО "Институт Стройпроект"  тома 9.3.2.1.1-9.3.2.1.2</v>
          </cell>
        </row>
        <row r="31">
          <cell r="F31" t="str">
            <v>АО "Институт Стройпроект"  том 9.3.2.1.1</v>
          </cell>
        </row>
        <row r="32">
          <cell r="F32" t="str">
            <v>АО "Институт Стройпроект"  том 9.3.2.1.2</v>
          </cell>
        </row>
        <row r="33">
          <cell r="F33" t="str">
            <v>АО "Институт Стройпроект"  том 9.3.2.1.3</v>
          </cell>
        </row>
        <row r="34">
          <cell r="F34" t="str">
            <v>АО "Институт Стройпроект"  том 9.3.2.2</v>
          </cell>
        </row>
        <row r="35">
          <cell r="F35" t="str">
            <v>АО "Институт Стройпроект"  тома  9.3.2.2, 9.3.2.3.1- 9.3.2.3.3</v>
          </cell>
        </row>
        <row r="36">
          <cell r="F36" t="str">
            <v>АО "Институт Стройпроект"  том 9.3.2.3.1</v>
          </cell>
        </row>
        <row r="37">
          <cell r="F37" t="str">
            <v>АО "Институт Стройпроект"  том 9.3.2.3.2</v>
          </cell>
        </row>
        <row r="38">
          <cell r="F38" t="str">
            <v>АО "Институт Стройпроект"  том 9.3.2.3.3</v>
          </cell>
        </row>
        <row r="39">
          <cell r="F39" t="str">
            <v>АО "Институт Стройпроект"  том 9.3.2.3.3</v>
          </cell>
        </row>
        <row r="40">
          <cell r="F40" t="str">
            <v>АО "Институт Стройпроект"  том 9.3.2.4.1</v>
          </cell>
        </row>
        <row r="41">
          <cell r="F41" t="str">
            <v>АО "Институт Стройпроект"  том 9.3.2.4.2</v>
          </cell>
        </row>
        <row r="42">
          <cell r="F42" t="str">
            <v>АО "Институт Стройпроект"  том 9.3.2.4.3</v>
          </cell>
        </row>
        <row r="43">
          <cell r="F43" t="str">
            <v>АО "Институт Стройпроект"  том 9.3.2.4.4</v>
          </cell>
        </row>
        <row r="45">
          <cell r="F45" t="str">
            <v>АО "ВАД" том 9.3.3.1</v>
          </cell>
        </row>
        <row r="48">
          <cell r="F48" t="str">
            <v>ООО «Центр комплексного проектирования» том 9.3.3.2, 9.3.3.3.1-9.3.3.3.5</v>
          </cell>
        </row>
        <row r="49">
          <cell r="F49" t="str">
            <v>ООО «Центр комплексного проектирования» том 9.3.3.2</v>
          </cell>
        </row>
        <row r="50">
          <cell r="F50" t="str">
            <v>ООО «Центр комплексного проектирования» тома 9.3.3.3.1-9.3.3.3.5</v>
          </cell>
        </row>
        <row r="51">
          <cell r="F51" t="str">
            <v>ООО «Центр комплексного проектирования» том 9.3.3.3.1</v>
          </cell>
        </row>
        <row r="52">
          <cell r="F52" t="str">
            <v>ООО «Центр комплексного проектирования» том 9.3.3.3.2</v>
          </cell>
        </row>
        <row r="53">
          <cell r="F53" t="str">
            <v>ООО «Центр комплексного проектирования» том 9.3.3.3.3</v>
          </cell>
        </row>
        <row r="54">
          <cell r="F54" t="str">
            <v>ООО «Центр комплексного проектирования» том 9.3.3.3.4</v>
          </cell>
        </row>
        <row r="55">
          <cell r="F55" t="str">
            <v>ООО «Центр комплексного проектирования» том 9.3.3.3.5</v>
          </cell>
        </row>
        <row r="56">
          <cell r="F56" t="str">
            <v xml:space="preserve">  </v>
          </cell>
        </row>
        <row r="57">
          <cell r="F57" t="str">
            <v>ПИИ "Севзапдорпроект" том 9.3.3.4</v>
          </cell>
        </row>
        <row r="58">
          <cell r="F58" t="str">
            <v>АО "Институт Стройпроект"  том 9.3.3.5</v>
          </cell>
        </row>
        <row r="59">
          <cell r="F59" t="str">
            <v>АО "ВАД" том 9.3.3.6</v>
          </cell>
        </row>
        <row r="60">
          <cell r="F60" t="str">
            <v>АО "ВАД" том 9.3.3.7</v>
          </cell>
        </row>
        <row r="61">
          <cell r="F61" t="str">
            <v>ООО «Крымское Монтажно-Наладочное Управление-14» том 9.3.4</v>
          </cell>
        </row>
        <row r="62">
          <cell r="F62" t="str">
            <v>ООО «Крымское Монтажно-Наладочное Управление-14» том 9.3.5</v>
          </cell>
        </row>
        <row r="63">
          <cell r="F63" t="str">
            <v>АО "Институт Стройпроект" МФ том 9.3.6.1</v>
          </cell>
        </row>
        <row r="64">
          <cell r="F64" t="str">
            <v>ПИИ "Севзапдорпроект" том 9.3.6.2</v>
          </cell>
        </row>
        <row r="65">
          <cell r="F65" t="str">
            <v>ПИИ "Севзапдорпроект" том 9.3.6.3</v>
          </cell>
        </row>
        <row r="66">
          <cell r="F66" t="str">
            <v>ПИИ "Севзапдорпроект" том 9.3.7</v>
          </cell>
        </row>
        <row r="67">
          <cell r="F67" t="str">
            <v>АО "ВАД" том 9.3.8</v>
          </cell>
        </row>
        <row r="68">
          <cell r="F68" t="str">
            <v>АО "ВАД" том 9.3.9</v>
          </cell>
        </row>
        <row r="69">
          <cell r="F69" t="str">
            <v>ЗАО «Институт «Трансэкопроект» том 9.3.10</v>
          </cell>
        </row>
        <row r="70">
          <cell r="F70" t="str">
            <v>АО "ВАД" том 9.3.11.1</v>
          </cell>
        </row>
        <row r="71">
          <cell r="F71" t="str">
            <v>ООО «Центр комплексного проектирования» том 9.3.11.2</v>
          </cell>
        </row>
        <row r="72">
          <cell r="F72" t="str">
            <v>ПИИ "Севзапдорпроект" том 9.3.12</v>
          </cell>
        </row>
        <row r="75">
          <cell r="F75" t="str">
            <v>ООО «Региональное Инфраструктурное Энерго-Коммунальное Объединение» том 1.6.1</v>
          </cell>
        </row>
        <row r="76">
          <cell r="F76" t="str">
            <v>ООО «Региональное Инфраструктурное Энерго-Коммунальное Объединение» том 1.6.2</v>
          </cell>
        </row>
        <row r="77">
          <cell r="F77" t="str">
            <v>ООО «Региональное Инфраструктурное Энерго-Коммунальное Объединение» том 1.6.3</v>
          </cell>
        </row>
        <row r="78">
          <cell r="F78" t="str">
            <v>ООО «Региональное Инфраструктурное Энерго-Коммунальное Объединение» том 1.6.4</v>
          </cell>
        </row>
      </sheetData>
      <sheetData sheetId="1">
        <row r="4">
          <cell r="H4">
            <v>1.4442462413299999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C4">
            <v>8.31</v>
          </cell>
          <cell r="E4">
            <v>5.07</v>
          </cell>
          <cell r="F4">
            <v>14.44</v>
          </cell>
          <cell r="G4">
            <v>5.71</v>
          </cell>
          <cell r="H4">
            <v>35.86</v>
          </cell>
          <cell r="I4">
            <v>4.66</v>
          </cell>
          <cell r="K4">
            <v>4.7300000000000004</v>
          </cell>
          <cell r="M4">
            <v>1.03</v>
          </cell>
        </row>
      </sheetData>
      <sheetData sheetId="9"/>
      <sheetData sheetId="10"/>
      <sheetData sheetId="11">
        <row r="111">
          <cell r="I111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33">
          <cell r="E33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6">
          <cell r="D36">
            <v>0</v>
          </cell>
        </row>
      </sheetData>
      <sheetData sheetId="26"/>
      <sheetData sheetId="27">
        <row r="35">
          <cell r="D35">
            <v>0</v>
          </cell>
        </row>
      </sheetData>
      <sheetData sheetId="28"/>
      <sheetData sheetId="29">
        <row r="35">
          <cell r="D35">
            <v>0</v>
          </cell>
        </row>
      </sheetData>
      <sheetData sheetId="30"/>
      <sheetData sheetId="31">
        <row r="36">
          <cell r="D36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З"/>
      <sheetName val="СП"/>
      <sheetName val="пояснительная"/>
      <sheetName val="Структура 2000"/>
      <sheetName val="Структура 2019"/>
      <sheetName val="сопоставит"/>
      <sheetName val="врем_зим"/>
      <sheetName val="врем_зим_тек"/>
      <sheetName val="ИС"/>
      <sheetName val="Индексы"/>
      <sheetName val="Сводный 2000 "/>
      <sheetName val="Сводный 2019"/>
      <sheetName val="КК"/>
      <sheetName val="стройконтроль"/>
      <sheetName val="01-01"/>
      <sheetName val="01-02"/>
      <sheetName val="01-03"/>
      <sheetName val="01-03а"/>
      <sheetName val="01-04"/>
      <sheetName val="01-08"/>
      <sheetName val="01-09"/>
      <sheetName val="01-11"/>
      <sheetName val="02-01"/>
      <sheetName val="02-06"/>
      <sheetName val="02-07"/>
      <sheetName val="03-01"/>
      <sheetName val="07-01"/>
      <sheetName val="09-04"/>
      <sheetName val="09-05"/>
      <sheetName val="09-07"/>
      <sheetName val="09-08"/>
      <sheetName val="экспертиза"/>
      <sheetName val="12-02"/>
      <sheetName val="Лист1"/>
    </sheetNames>
    <sheetDataSet>
      <sheetData sheetId="0">
        <row r="2">
          <cell r="A2" t="str">
            <v>Вид строительства</v>
          </cell>
        </row>
      </sheetData>
      <sheetData sheetId="1">
        <row r="2">
          <cell r="A2" t="str">
            <v>Подраздел 1. Сводный сметный расчет</v>
          </cell>
        </row>
      </sheetData>
      <sheetData sheetId="2">
        <row r="2">
          <cell r="A2" t="str">
            <v>Сводный сметный расчет стоимости строительства по титулу «Автомобильная дорога М-1 «Беларусь» Москва – граница с Республикой Белоруссия. Строительство транспортной развязки на км 59, Московская область» выполнен в соответствии с Методикой определения стоимости строительной продукции на территории Российской Федерации (МДС 81-35.2004), введенной в действие постановлением Госстроя России от 05.03.2004г. №15/1.</v>
          </cell>
        </row>
      </sheetData>
      <sheetData sheetId="3">
        <row r="2">
          <cell r="A2" t="str">
            <v>Объект:</v>
          </cell>
        </row>
      </sheetData>
      <sheetData sheetId="4">
        <row r="2">
          <cell r="A2" t="str">
            <v>Объект:</v>
          </cell>
        </row>
      </sheetData>
      <sheetData sheetId="5"/>
      <sheetData sheetId="6">
        <row r="2">
          <cell r="A2" t="str">
            <v>Сметный расчет № 09-01и2</v>
          </cell>
        </row>
      </sheetData>
      <sheetData sheetId="7">
        <row r="2">
          <cell r="A2" t="str">
            <v>Сметный расчет № 09-01</v>
          </cell>
        </row>
      </sheetData>
      <sheetData sheetId="8"/>
      <sheetData sheetId="9">
        <row r="3">
          <cell r="C3">
            <v>8.39</v>
          </cell>
          <cell r="J3">
            <v>4.3499999999999996</v>
          </cell>
        </row>
      </sheetData>
      <sheetData sheetId="10"/>
      <sheetData sheetId="11">
        <row r="562">
          <cell r="J562">
            <v>15.896000000000001</v>
          </cell>
        </row>
      </sheetData>
      <sheetData sheetId="12">
        <row r="2">
          <cell r="A2" t="str">
            <v>14_04_20</v>
          </cell>
        </row>
      </sheetData>
      <sheetData sheetId="13">
        <row r="2">
          <cell r="A2">
            <v>30000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(наименование стройки)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З"/>
      <sheetName val="СП"/>
      <sheetName val="пояснительная"/>
      <sheetName val="Структура 2000"/>
      <sheetName val="Структура 2019"/>
      <sheetName val="сопоставит"/>
      <sheetName val="врем_зим"/>
      <sheetName val="врем_зим_тек"/>
      <sheetName val="ИС"/>
      <sheetName val="Индексы"/>
      <sheetName val="Сводный 2000 "/>
      <sheetName val="Сводный 2019"/>
      <sheetName val="КК"/>
      <sheetName val="стройконтроль"/>
      <sheetName val="01-01"/>
      <sheetName val="01-02"/>
      <sheetName val="01-03"/>
      <sheetName val="01-03а"/>
      <sheetName val="01-04"/>
      <sheetName val="01-08"/>
      <sheetName val="01-09"/>
      <sheetName val="01-11"/>
      <sheetName val="02-01"/>
      <sheetName val="02-06"/>
      <sheetName val="02-07"/>
      <sheetName val="03-01"/>
      <sheetName val="07-01"/>
      <sheetName val="09-04"/>
      <sheetName val="09-05"/>
      <sheetName val="09-07"/>
      <sheetName val="09-08"/>
      <sheetName val="экспертиза"/>
      <sheetName val="12-02"/>
      <sheetName val="Лист1"/>
      <sheetName val="01-02-03Б"/>
      <sheetName val="01-02-03Т"/>
    </sheetNames>
    <sheetDataSet>
      <sheetData sheetId="0"/>
      <sheetData sheetId="1">
        <row r="3">
          <cell r="F3" t="str">
            <v>АО "Ленстрой" том 9.1.1</v>
          </cell>
        </row>
        <row r="4">
          <cell r="F4" t="str">
            <v>АО "Ленстрой" том 9.1.2</v>
          </cell>
        </row>
        <row r="5">
          <cell r="F5" t="str">
            <v>АО "Ленстрой" том 9.1.3</v>
          </cell>
        </row>
        <row r="10">
          <cell r="F10" t="str">
            <v>ЗАО "Петербургские сети" том 9.2.1</v>
          </cell>
        </row>
        <row r="11">
          <cell r="F11" t="str">
            <v>ЗАО "Петербургские сети" том 9.2.2</v>
          </cell>
        </row>
        <row r="12">
          <cell r="F12" t="str">
            <v>ЗАО "Петербургские сети" том 9.2.3</v>
          </cell>
        </row>
        <row r="13">
          <cell r="F13" t="str">
            <v>ЗАО "Петербургские сети" том 9.2.4</v>
          </cell>
        </row>
        <row r="14">
          <cell r="F14" t="str">
            <v>ЗАО "Петербургские сети" том 9.2.5</v>
          </cell>
        </row>
        <row r="15">
          <cell r="F15" t="str">
            <v>АО "Ленстрой" том 9.2.6</v>
          </cell>
        </row>
        <row r="16">
          <cell r="F16" t="str">
            <v>АО "Ленстрой" том 9.2.7</v>
          </cell>
        </row>
        <row r="17">
          <cell r="F17" t="str">
            <v>АО "Ленстрой" том 9.2.8</v>
          </cell>
        </row>
        <row r="18">
          <cell r="F18" t="str">
            <v>ООО "ПИ ИТС"    том 9.2.9</v>
          </cell>
        </row>
        <row r="19">
          <cell r="F19" t="str">
            <v>ООО "ПИ ИТС"    том 9.2.10</v>
          </cell>
        </row>
        <row r="20">
          <cell r="F20" t="str">
            <v>АО "Ленстрой" том 9.2.11</v>
          </cell>
        </row>
        <row r="21">
          <cell r="F21" t="str">
            <v>ИТИС   том 9.2.12</v>
          </cell>
        </row>
        <row r="22">
          <cell r="F22" t="str">
            <v>ЗАО "Петербургские сети" том 9.2.13</v>
          </cell>
        </row>
        <row r="23">
          <cell r="F23" t="str">
            <v xml:space="preserve"> АО «Мосгипротранс»     том 9.2.14</v>
          </cell>
        </row>
        <row r="24">
          <cell r="F24" t="str">
            <v>ИТИС   том 9.2.15</v>
          </cell>
        </row>
      </sheetData>
      <sheetData sheetId="2"/>
      <sheetData sheetId="3"/>
      <sheetData sheetId="4">
        <row r="5">
          <cell r="H5">
            <v>1.3764744900200001</v>
          </cell>
        </row>
      </sheetData>
      <sheetData sheetId="5"/>
      <sheetData sheetId="6"/>
      <sheetData sheetId="7"/>
      <sheetData sheetId="8"/>
      <sheetData sheetId="9">
        <row r="3">
          <cell r="A3" t="str">
            <v>Письма Минстроя России от 25.12.2019г. №50583-ДВ/09, 09.12.2019г. №46999-ДВ/09</v>
          </cell>
          <cell r="C3">
            <v>8.39</v>
          </cell>
        </row>
      </sheetData>
      <sheetData sheetId="10"/>
      <sheetData sheetId="11">
        <row r="540">
          <cell r="J540">
            <v>15.896000000000001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Шаблон_блоки"/>
      <sheetName val="Дог_деньги"/>
      <sheetName val="Лист опроса"/>
      <sheetName val="Ф3П"/>
      <sheetName val="Стоим_Тракт"/>
      <sheetName val="Шаблон_Спец1"/>
      <sheetName val="Шаблон_Спец2"/>
      <sheetName val="Шаблон_СпецЭл"/>
    </sheetNames>
    <sheetDataSet>
      <sheetData sheetId="0" refreshError="1"/>
      <sheetData sheetId="1" refreshError="1"/>
      <sheetData sheetId="2" refreshError="1"/>
      <sheetData sheetId="3">
        <row r="61">
          <cell r="B61">
            <v>4.1500000000000004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Шаблон_блоки"/>
      <sheetName val="Дог_деньги"/>
      <sheetName val="Лист опроса"/>
      <sheetName val="КП_СС"/>
      <sheetName val="Ф3П"/>
      <sheetName val="Ф2П"/>
      <sheetName val="сводная  12-02-02-02"/>
      <sheetName val="Дог_рас"/>
      <sheetName val="Стоим_Тракт"/>
      <sheetName val="Шаблон_Спец1"/>
      <sheetName val="Шаблон_Спец2"/>
      <sheetName val="Шаблон_СпецЭл"/>
    </sheetNames>
    <sheetDataSet>
      <sheetData sheetId="0"/>
      <sheetData sheetId="1"/>
      <sheetData sheetId="2"/>
      <sheetData sheetId="3">
        <row r="33">
          <cell r="B33">
            <v>4.1500000000000004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07"/>
  <sheetViews>
    <sheetView tabSelected="1" zoomScale="55" zoomScaleNormal="55" workbookViewId="0">
      <pane xSplit="3" ySplit="8" topLeftCell="W9" activePane="bottomRight" state="frozen"/>
      <selection pane="topRight" activeCell="D1" sqref="D1"/>
      <selection pane="bottomLeft" activeCell="A10" sqref="A10"/>
      <selection pane="bottomRight" activeCell="AE13" sqref="AE13"/>
    </sheetView>
  </sheetViews>
  <sheetFormatPr defaultColWidth="9.140625" defaultRowHeight="12.75" outlineLevelRow="1" outlineLevelCol="1" x14ac:dyDescent="0.2"/>
  <cols>
    <col min="1" max="1" width="11.42578125" style="60" customWidth="1"/>
    <col min="2" max="2" width="52" style="1" customWidth="1"/>
    <col min="3" max="3" width="10.28515625" style="1" customWidth="1"/>
    <col min="4" max="4" width="14.85546875" style="1" customWidth="1"/>
    <col min="5" max="5" width="14.42578125" style="2" customWidth="1"/>
    <col min="6" max="7" width="14.42578125" style="158" hidden="1" customWidth="1" outlineLevel="1"/>
    <col min="8" max="8" width="15" style="1" customWidth="1" collapsed="1"/>
    <col min="9" max="9" width="12.5703125" style="1" customWidth="1"/>
    <col min="10" max="10" width="14.7109375" style="1" hidden="1" customWidth="1" outlineLevel="1"/>
    <col min="11" max="11" width="12.85546875" style="1" hidden="1" customWidth="1" outlineLevel="1"/>
    <col min="12" max="12" width="8.140625" style="1" hidden="1" customWidth="1" outlineLevel="1"/>
    <col min="13" max="13" width="18.140625" style="1" hidden="1" customWidth="1" outlineLevel="1" collapsed="1"/>
    <col min="14" max="14" width="8.42578125" style="1" hidden="1" customWidth="1" outlineLevel="1"/>
    <col min="15" max="15" width="16" style="1" customWidth="1" collapsed="1"/>
    <col min="16" max="16" width="17.85546875" style="1" customWidth="1"/>
    <col min="17" max="17" width="17" style="118" customWidth="1"/>
    <col min="18" max="18" width="17.42578125" style="1" customWidth="1"/>
    <col min="19" max="20" width="18.140625" style="1" customWidth="1"/>
    <col min="21" max="21" width="17.7109375" style="1" customWidth="1"/>
    <col min="22" max="22" width="16.85546875" style="1" customWidth="1"/>
    <col min="23" max="23" width="16.42578125" style="1" customWidth="1"/>
    <col min="24" max="24" width="15.28515625" style="1" customWidth="1"/>
    <col min="25" max="25" width="17.140625" style="1" customWidth="1"/>
    <col min="26" max="26" width="14.140625" style="1" customWidth="1"/>
    <col min="27" max="28" width="18.140625" style="1" customWidth="1"/>
    <col min="29" max="29" width="15.42578125" style="1" customWidth="1"/>
    <col min="30" max="30" width="21.85546875" style="1" customWidth="1"/>
    <col min="31" max="31" width="26.5703125" style="1" customWidth="1"/>
    <col min="32" max="32" width="0" style="1" hidden="1" customWidth="1"/>
    <col min="33" max="16384" width="9.140625" style="1"/>
  </cols>
  <sheetData>
    <row r="1" spans="1:32" x14ac:dyDescent="0.2">
      <c r="A1" s="190" t="s">
        <v>36</v>
      </c>
      <c r="B1" s="190"/>
      <c r="C1" s="190"/>
      <c r="D1" s="190"/>
      <c r="E1" s="190"/>
      <c r="F1" s="185"/>
      <c r="G1" s="18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2" x14ac:dyDescent="0.2">
      <c r="A2" s="204" t="s">
        <v>35</v>
      </c>
      <c r="B2" s="204"/>
      <c r="C2" s="204"/>
      <c r="D2" s="204"/>
      <c r="E2" s="204"/>
      <c r="F2" s="204"/>
      <c r="G2" s="204"/>
      <c r="H2" s="204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2" s="4" customFormat="1" ht="73.5" x14ac:dyDescent="0.25">
      <c r="A3" s="191" t="s">
        <v>37</v>
      </c>
      <c r="B3" s="191" t="s">
        <v>38</v>
      </c>
      <c r="C3" s="192" t="s">
        <v>39</v>
      </c>
      <c r="D3" s="193" t="s">
        <v>40</v>
      </c>
      <c r="E3" s="194" t="s">
        <v>41</v>
      </c>
      <c r="F3" s="187" t="s">
        <v>1293</v>
      </c>
      <c r="G3" s="187" t="s">
        <v>1294</v>
      </c>
      <c r="H3" s="197" t="s">
        <v>42</v>
      </c>
      <c r="I3" s="197" t="s">
        <v>0</v>
      </c>
      <c r="J3" s="203" t="s">
        <v>43</v>
      </c>
      <c r="K3" s="200"/>
      <c r="L3" s="181" t="s">
        <v>44</v>
      </c>
      <c r="M3" s="184"/>
      <c r="N3" s="184"/>
      <c r="O3" s="203" t="s">
        <v>45</v>
      </c>
      <c r="P3" s="203" t="s">
        <v>46</v>
      </c>
      <c r="Q3" s="203" t="s">
        <v>47</v>
      </c>
      <c r="R3" s="3" t="s">
        <v>50</v>
      </c>
      <c r="S3" s="182" t="s">
        <v>1498</v>
      </c>
      <c r="T3" s="182" t="s">
        <v>1297</v>
      </c>
      <c r="U3" s="3" t="s">
        <v>48</v>
      </c>
      <c r="V3" s="3" t="s">
        <v>49</v>
      </c>
      <c r="W3" s="113" t="s">
        <v>260</v>
      </c>
      <c r="X3" s="113" t="s">
        <v>51</v>
      </c>
      <c r="Y3" s="113" t="s">
        <v>52</v>
      </c>
      <c r="Z3" s="113" t="s">
        <v>261</v>
      </c>
      <c r="AA3" s="113" t="s">
        <v>848</v>
      </c>
      <c r="AB3" s="113" t="s">
        <v>53</v>
      </c>
      <c r="AC3" s="197" t="s">
        <v>54</v>
      </c>
      <c r="AD3" s="200" t="s">
        <v>55</v>
      </c>
    </row>
    <row r="4" spans="1:32" s="4" customFormat="1" outlineLevel="1" x14ac:dyDescent="0.25">
      <c r="A4" s="191"/>
      <c r="B4" s="191"/>
      <c r="C4" s="192"/>
      <c r="D4" s="193"/>
      <c r="E4" s="195"/>
      <c r="F4" s="188"/>
      <c r="G4" s="188"/>
      <c r="H4" s="198"/>
      <c r="I4" s="198"/>
      <c r="J4" s="183"/>
      <c r="K4" s="115"/>
      <c r="L4" s="115"/>
      <c r="M4" s="184"/>
      <c r="N4" s="184"/>
      <c r="O4" s="203"/>
      <c r="P4" s="203"/>
      <c r="Q4" s="203"/>
      <c r="R4" s="3" t="s">
        <v>258</v>
      </c>
      <c r="S4" s="113"/>
      <c r="T4" s="113"/>
      <c r="U4" s="201">
        <f>2907.17*14.82*1000/(SUM(Q14:Q74)+SUM(Q76:Q78)+SUM(Q117:Q131)+SUM(Q137:Q173)+SUM(Q296:Q349)+SUM(Q493:Q704)+SUM(Q808:Q831)+SUM(Q891:Q922)+SUM(Q842:Q874))</f>
        <v>4.8774368999999996E-3</v>
      </c>
      <c r="V4" s="128">
        <f>997.99*9.12*1000/(SUM(Q13:Q35)+SUM(Q76:Q78)+SUM(Q117:Q131)+SUM(Q137:Q173)+SUM(Q296:Q349)+SUM(Q493:Q704)+SUM(Q806:Q831)+SUM(Q897:Q922)+SUM(Q869:Q874))</f>
        <v>1.1194526919970701E-3</v>
      </c>
      <c r="W4" s="142">
        <f>52.69*9.12*1000/SUM(Q152:Q173)</f>
        <v>1.7480325706672301E-4</v>
      </c>
      <c r="X4" s="3" t="s">
        <v>258</v>
      </c>
      <c r="Y4" s="113"/>
      <c r="Z4" s="113"/>
      <c r="AA4" s="113"/>
      <c r="AB4" s="3"/>
      <c r="AC4" s="198"/>
      <c r="AD4" s="200"/>
    </row>
    <row r="5" spans="1:32" s="4" customFormat="1" outlineLevel="1" x14ac:dyDescent="0.25">
      <c r="A5" s="191"/>
      <c r="B5" s="191"/>
      <c r="C5" s="192"/>
      <c r="D5" s="193"/>
      <c r="E5" s="195"/>
      <c r="F5" s="188"/>
      <c r="G5" s="188"/>
      <c r="H5" s="198"/>
      <c r="I5" s="198"/>
      <c r="J5" s="183"/>
      <c r="K5" s="115"/>
      <c r="L5" s="115"/>
      <c r="M5" s="184"/>
      <c r="N5" s="184"/>
      <c r="O5" s="203"/>
      <c r="P5" s="203"/>
      <c r="Q5" s="203"/>
      <c r="R5" s="3" t="s">
        <v>856</v>
      </c>
      <c r="S5" s="149">
        <f>(2518.96*14.82)/(Q897+Q898+Q899+Q903+Q904+Q905)</f>
        <v>1.40518413E-3</v>
      </c>
      <c r="T5" s="174"/>
      <c r="U5" s="202"/>
      <c r="V5" s="130">
        <f>43.02*9.12*1000/(SUM(Q37:Q74)+SUM(Q891:Q894)+SUM(Q842:Q868))</f>
        <v>5.5816225849170001E-4</v>
      </c>
      <c r="W5" s="113"/>
      <c r="X5" s="3" t="s">
        <v>259</v>
      </c>
      <c r="Y5" s="113"/>
      <c r="Z5" s="113"/>
      <c r="AA5" s="113"/>
      <c r="AB5" s="3"/>
      <c r="AC5" s="198"/>
      <c r="AD5" s="200"/>
    </row>
    <row r="6" spans="1:32" s="4" customFormat="1" outlineLevel="1" x14ac:dyDescent="0.25">
      <c r="A6" s="191"/>
      <c r="B6" s="191"/>
      <c r="C6" s="192"/>
      <c r="D6" s="193"/>
      <c r="E6" s="195"/>
      <c r="F6" s="188"/>
      <c r="G6" s="188"/>
      <c r="H6" s="198"/>
      <c r="I6" s="198"/>
      <c r="J6" s="183"/>
      <c r="K6" s="115"/>
      <c r="L6" s="115"/>
      <c r="M6" s="184"/>
      <c r="N6" s="184"/>
      <c r="O6" s="203"/>
      <c r="P6" s="203"/>
      <c r="Q6" s="203"/>
      <c r="R6" s="116" t="s">
        <v>855</v>
      </c>
      <c r="S6" s="150">
        <f>(8075.64*14.82)/(Q246+Q354+Q361+Q448)</f>
        <v>6.3209587100000004E-4</v>
      </c>
      <c r="T6" s="175"/>
      <c r="U6" s="148">
        <f>4536.1*1000*14.82/(SUM(Q176:Q295)+SUM(Q705:Q805))</f>
        <v>7.6867063900000004E-2</v>
      </c>
      <c r="V6" s="127">
        <f>112.91*1000*9.12/(SUM(Q176:Q295)+SUM(Q705:Q805))</f>
        <v>1.1774343851299099E-3</v>
      </c>
      <c r="W6" s="132">
        <f>8656.14*1000*9.12/(SUM(Q176:Q295)+SUM(Q705:Q805))</f>
        <v>9.0266910623491597E-2</v>
      </c>
      <c r="X6" s="3" t="s">
        <v>257</v>
      </c>
      <c r="Y6" s="113"/>
      <c r="Z6" s="113"/>
      <c r="AA6" s="113"/>
      <c r="AB6" s="3"/>
      <c r="AC6" s="198"/>
      <c r="AD6" s="200"/>
    </row>
    <row r="7" spans="1:32" s="4" customFormat="1" outlineLevel="1" x14ac:dyDescent="0.25">
      <c r="A7" s="191"/>
      <c r="B7" s="191"/>
      <c r="C7" s="192"/>
      <c r="D7" s="193"/>
      <c r="E7" s="196"/>
      <c r="F7" s="189"/>
      <c r="G7" s="189"/>
      <c r="H7" s="199"/>
      <c r="I7" s="199"/>
      <c r="J7" s="183"/>
      <c r="K7" s="61"/>
      <c r="L7" s="61"/>
      <c r="M7" s="184"/>
      <c r="N7" s="184"/>
      <c r="O7" s="203"/>
      <c r="P7" s="203"/>
      <c r="Q7" s="203"/>
      <c r="R7" s="116"/>
      <c r="S7" s="175"/>
      <c r="T7" s="205">
        <f>(13.95)*1000*14.82/(Q16+Q131+Q246+Q354+Q361+Q448+Q897+Q898+Q899+Q903+Q904+Q905)</f>
        <v>9.5500000000000001E-4</v>
      </c>
      <c r="U7" s="129">
        <f>(4160.34*1000*14.82)/(SUM(Q352:Q491))</f>
        <v>9.0193488099999997E-2</v>
      </c>
      <c r="V7" s="129">
        <f>153.15*1000*9.12/(SUM(Q352:Q491))</f>
        <v>2.0431958000000001E-3</v>
      </c>
      <c r="W7" s="129">
        <f>3453.09*1000*9.12/(SUM(Q354:Q404)+SUM(Q442:Q491))</f>
        <v>5.7196325200000002E-2</v>
      </c>
      <c r="X7" s="116" t="s">
        <v>854</v>
      </c>
      <c r="Y7" s="167">
        <f>1011.74*1000*14.82/(SUM(Q176:Q295)+SUM(Q440:Q491))</f>
        <v>1.87587112E-2</v>
      </c>
      <c r="Z7" s="5"/>
      <c r="AA7" s="184"/>
      <c r="AB7" s="184">
        <v>1.07762</v>
      </c>
      <c r="AC7" s="199"/>
      <c r="AD7" s="200"/>
    </row>
    <row r="8" spans="1:32" s="4" customFormat="1" x14ac:dyDescent="0.25">
      <c r="A8" s="186">
        <v>1</v>
      </c>
      <c r="B8" s="186">
        <v>2</v>
      </c>
      <c r="C8" s="6">
        <v>3</v>
      </c>
      <c r="D8" s="7">
        <v>4</v>
      </c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5</v>
      </c>
      <c r="AD8" s="186">
        <v>6</v>
      </c>
    </row>
    <row r="9" spans="1:32" s="4" customFormat="1" x14ac:dyDescent="0.25">
      <c r="A9" s="10" t="s">
        <v>56</v>
      </c>
      <c r="B9" s="11" t="s">
        <v>57</v>
      </c>
      <c r="C9" s="12"/>
      <c r="D9" s="13"/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</row>
    <row r="10" spans="1:32" s="91" customFormat="1" collapsed="1" x14ac:dyDescent="0.25">
      <c r="A10" s="87" t="s">
        <v>58</v>
      </c>
      <c r="B10" s="88" t="s">
        <v>59</v>
      </c>
      <c r="C10" s="92"/>
      <c r="D10" s="93"/>
      <c r="E10" s="90"/>
      <c r="F10" s="90"/>
      <c r="G10" s="90"/>
      <c r="H10" s="98">
        <v>650380</v>
      </c>
      <c r="I10" s="20"/>
      <c r="J10" s="20">
        <f>650.38*1000</f>
        <v>650380</v>
      </c>
      <c r="K10" s="20" t="s">
        <v>60</v>
      </c>
      <c r="L10" s="20">
        <f>H10-J10</f>
        <v>0</v>
      </c>
      <c r="M10" s="50">
        <v>3968700</v>
      </c>
      <c r="N10" s="50">
        <f>M10-O12-O11</f>
        <v>3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0"/>
      <c r="AD10" s="20"/>
    </row>
    <row r="11" spans="1:32" s="63" customFormat="1" x14ac:dyDescent="0.25">
      <c r="A11" s="64" t="s">
        <v>61</v>
      </c>
      <c r="B11" s="55" t="s">
        <v>62</v>
      </c>
      <c r="C11" s="24" t="s">
        <v>63</v>
      </c>
      <c r="D11" s="206">
        <f>15.8+11.0956</f>
        <v>26.895600000000002</v>
      </c>
      <c r="E11" s="14">
        <f>H11/D11</f>
        <v>20121.509999999998</v>
      </c>
      <c r="F11" s="14"/>
      <c r="G11" s="14"/>
      <c r="H11" s="22">
        <v>541180</v>
      </c>
      <c r="I11" s="15"/>
      <c r="J11" s="15"/>
      <c r="K11" s="15"/>
      <c r="L11" s="15"/>
      <c r="M11" s="22"/>
      <c r="N11" s="22"/>
      <c r="O11" s="22">
        <f>H11*4.82*1.266</f>
        <v>3302345</v>
      </c>
      <c r="P11" s="19"/>
      <c r="Q11" s="19">
        <f>SUM(O11:P11)</f>
        <v>3302345</v>
      </c>
      <c r="R11" s="19"/>
      <c r="S11" s="19"/>
      <c r="T11" s="19"/>
      <c r="U11" s="19"/>
      <c r="V11" s="19"/>
      <c r="W11" s="19"/>
      <c r="X11" s="19"/>
      <c r="Y11" s="19"/>
      <c r="Z11" s="19"/>
      <c r="AA11" s="19">
        <f>SUM(Q11:Z11)</f>
        <v>3302345</v>
      </c>
      <c r="AB11" s="19">
        <f>$AA11*AB$7</f>
        <v>3558673</v>
      </c>
      <c r="AC11" s="15">
        <f>AB11/D11</f>
        <v>132314.32</v>
      </c>
      <c r="AD11" s="15">
        <f>AC11*D11</f>
        <v>3558673.02</v>
      </c>
      <c r="AE11" s="62"/>
      <c r="AF11" s="157">
        <f>AD11-AB11</f>
        <v>0.02</v>
      </c>
    </row>
    <row r="12" spans="1:32" s="63" customFormat="1" ht="25.5" x14ac:dyDescent="0.25">
      <c r="A12" s="64" t="s">
        <v>61</v>
      </c>
      <c r="B12" s="55" t="s">
        <v>1461</v>
      </c>
      <c r="C12" s="24" t="s">
        <v>67</v>
      </c>
      <c r="D12" s="28">
        <v>19</v>
      </c>
      <c r="E12" s="14">
        <f>H12/D12</f>
        <v>5747.37</v>
      </c>
      <c r="F12" s="14"/>
      <c r="G12" s="14"/>
      <c r="H12" s="22">
        <v>109200</v>
      </c>
      <c r="I12" s="15"/>
      <c r="J12" s="15"/>
      <c r="K12" s="15"/>
      <c r="L12" s="15"/>
      <c r="M12" s="22"/>
      <c r="N12" s="22"/>
      <c r="O12" s="22">
        <f>H12*4.82*1.266</f>
        <v>666352</v>
      </c>
      <c r="P12" s="19"/>
      <c r="Q12" s="19">
        <f>SUM(O12:P12)</f>
        <v>666352</v>
      </c>
      <c r="R12" s="19"/>
      <c r="S12" s="19"/>
      <c r="T12" s="19"/>
      <c r="U12" s="19"/>
      <c r="V12" s="19"/>
      <c r="W12" s="19"/>
      <c r="X12" s="19"/>
      <c r="Y12" s="19"/>
      <c r="Z12" s="19"/>
      <c r="AA12" s="19">
        <f>SUM(Q12:Z12)</f>
        <v>666352</v>
      </c>
      <c r="AB12" s="19">
        <f>$AA12*AB$7</f>
        <v>718074</v>
      </c>
      <c r="AC12" s="15">
        <f>AB12/D12</f>
        <v>37793.370000000003</v>
      </c>
      <c r="AD12" s="15">
        <f>AC12*D12</f>
        <v>718074.03</v>
      </c>
      <c r="AE12" s="62"/>
      <c r="AF12" s="157">
        <f>AD12-AB12</f>
        <v>0.03</v>
      </c>
    </row>
    <row r="13" spans="1:32" s="91" customFormat="1" collapsed="1" x14ac:dyDescent="0.25">
      <c r="A13" s="87" t="s">
        <v>64</v>
      </c>
      <c r="B13" s="88" t="s">
        <v>1</v>
      </c>
      <c r="C13" s="92"/>
      <c r="D13" s="93"/>
      <c r="E13" s="94"/>
      <c r="F13" s="94"/>
      <c r="G13" s="94"/>
      <c r="H13" s="99">
        <v>5549140</v>
      </c>
      <c r="I13" s="20"/>
      <c r="J13" s="20">
        <f>5549.14*1000</f>
        <v>5549140</v>
      </c>
      <c r="K13" s="96" t="s">
        <v>235</v>
      </c>
      <c r="L13" s="89">
        <f>H13-J13</f>
        <v>0</v>
      </c>
      <c r="M13" s="95">
        <v>50608230</v>
      </c>
      <c r="N13" s="50">
        <f>M13-O14-O15-O16-O17-O18</f>
        <v>-9</v>
      </c>
      <c r="O13" s="95"/>
      <c r="P13" s="50"/>
      <c r="Q13" s="50"/>
      <c r="R13" s="50"/>
      <c r="S13" s="50"/>
      <c r="T13" s="50"/>
      <c r="U13" s="126"/>
      <c r="V13" s="126"/>
      <c r="W13" s="50"/>
      <c r="X13" s="50"/>
      <c r="Y13" s="50"/>
      <c r="Z13" s="50"/>
      <c r="AA13" s="50"/>
      <c r="AB13" s="50"/>
      <c r="AC13" s="20"/>
      <c r="AD13" s="20"/>
      <c r="AF13" s="157">
        <f t="shared" ref="AF13:AF76" si="0">AD13-AB13</f>
        <v>0</v>
      </c>
    </row>
    <row r="14" spans="1:32" s="4" customFormat="1" collapsed="1" x14ac:dyDescent="0.25">
      <c r="A14" s="134" t="s">
        <v>65</v>
      </c>
      <c r="B14" s="76" t="s">
        <v>155</v>
      </c>
      <c r="C14" s="21" t="s">
        <v>70</v>
      </c>
      <c r="D14" s="28">
        <f>96079+224186+1579+133+28557+66639+98+12370+28866+636+326+18324+7853+136+2088+895+67+1926+4498+379.5+379.5+8.4+8.4+29+12.5+2086+4868+5099+2845.1+3642.3</f>
        <v>514613.7</v>
      </c>
      <c r="E14" s="14">
        <f>H14/D14</f>
        <v>9.49</v>
      </c>
      <c r="F14" s="14"/>
      <c r="G14" s="14"/>
      <c r="H14" s="22">
        <f>4882517.09</f>
        <v>4882517</v>
      </c>
      <c r="I14" s="15"/>
      <c r="J14" s="15"/>
      <c r="K14" s="133"/>
      <c r="L14" s="13"/>
      <c r="M14" s="22"/>
      <c r="N14" s="22"/>
      <c r="O14" s="22">
        <f>H14*9.12</f>
        <v>44528555</v>
      </c>
      <c r="P14" s="19">
        <f>O14*4.1%</f>
        <v>1825671</v>
      </c>
      <c r="Q14" s="19">
        <f>SUM(O14:P14)</f>
        <v>46354226</v>
      </c>
      <c r="R14" s="6">
        <f>Q14*0.35%</f>
        <v>162240</v>
      </c>
      <c r="S14" s="6"/>
      <c r="T14" s="6"/>
      <c r="U14" s="121">
        <f>Q14*$U$4</f>
        <v>226090</v>
      </c>
      <c r="V14" s="121">
        <f>Q14*$V$4</f>
        <v>51891</v>
      </c>
      <c r="W14" s="6"/>
      <c r="X14" s="6"/>
      <c r="Y14" s="6"/>
      <c r="Z14" s="6"/>
      <c r="AA14" s="19">
        <f>SUM(Q14:Z14)</f>
        <v>46794447</v>
      </c>
      <c r="AB14" s="19">
        <f>$AA14*AB$7</f>
        <v>50426632</v>
      </c>
      <c r="AC14" s="15">
        <f>AB14/D14</f>
        <v>97.99</v>
      </c>
      <c r="AD14" s="15">
        <f>AC14*D14</f>
        <v>50426996.460000001</v>
      </c>
      <c r="AF14" s="157">
        <f t="shared" si="0"/>
        <v>364.46</v>
      </c>
    </row>
    <row r="15" spans="1:32" s="4" customFormat="1" ht="25.5" x14ac:dyDescent="0.25">
      <c r="A15" s="134" t="s">
        <v>69</v>
      </c>
      <c r="B15" s="55" t="s">
        <v>66</v>
      </c>
      <c r="C15" s="24" t="s">
        <v>67</v>
      </c>
      <c r="D15" s="28">
        <f>3132+9774+913+2201+5792</f>
        <v>21812</v>
      </c>
      <c r="E15" s="14">
        <f>H15/D15</f>
        <v>27.53</v>
      </c>
      <c r="F15" s="14"/>
      <c r="G15" s="14"/>
      <c r="H15" s="22">
        <f>600449.93</f>
        <v>600450</v>
      </c>
      <c r="I15" s="15"/>
      <c r="J15" s="15"/>
      <c r="K15" s="15"/>
      <c r="L15" s="15"/>
      <c r="M15" s="22"/>
      <c r="N15" s="22"/>
      <c r="O15" s="22">
        <f>H15*9.12</f>
        <v>5476104</v>
      </c>
      <c r="P15" s="19">
        <f>O15*4.1%</f>
        <v>224520</v>
      </c>
      <c r="Q15" s="19">
        <f>SUM(O15:P15)</f>
        <v>5700624</v>
      </c>
      <c r="R15" s="6">
        <f>Q15*0.35%</f>
        <v>19952</v>
      </c>
      <c r="S15" s="6"/>
      <c r="T15" s="6"/>
      <c r="U15" s="121">
        <f>Q15*$U$4</f>
        <v>27804</v>
      </c>
      <c r="V15" s="121">
        <f>Q15*$V$4</f>
        <v>6382</v>
      </c>
      <c r="W15" s="6"/>
      <c r="X15" s="6"/>
      <c r="Y15" s="6"/>
      <c r="Z15" s="6"/>
      <c r="AA15" s="19">
        <f>SUM(Q15:Z15)</f>
        <v>5754762</v>
      </c>
      <c r="AB15" s="19">
        <f>$AA15*AB$7</f>
        <v>6201447</v>
      </c>
      <c r="AC15" s="15">
        <f>AB15/D15</f>
        <v>284.31</v>
      </c>
      <c r="AD15" s="15">
        <f>AC15*D15</f>
        <v>6201369.7199999997</v>
      </c>
      <c r="AE15" s="25"/>
      <c r="AF15" s="157">
        <f t="shared" si="0"/>
        <v>-77.28</v>
      </c>
    </row>
    <row r="16" spans="1:32" s="4" customFormat="1" x14ac:dyDescent="0.25">
      <c r="A16" s="134" t="s">
        <v>266</v>
      </c>
      <c r="B16" s="55" t="s">
        <v>263</v>
      </c>
      <c r="C16" s="24" t="s">
        <v>68</v>
      </c>
      <c r="D16" s="28">
        <v>4.25</v>
      </c>
      <c r="E16" s="14">
        <f>H16/D16</f>
        <v>4233.18</v>
      </c>
      <c r="F16" s="14"/>
      <c r="G16" s="14"/>
      <c r="H16" s="22">
        <f>17990.51</f>
        <v>17991</v>
      </c>
      <c r="I16" s="15"/>
      <c r="J16" s="15"/>
      <c r="K16" s="15"/>
      <c r="L16" s="15"/>
      <c r="M16" s="22"/>
      <c r="N16" s="22"/>
      <c r="O16" s="22">
        <f>H16*9.12</f>
        <v>164078</v>
      </c>
      <c r="P16" s="19">
        <f>O16*4.1%</f>
        <v>6727</v>
      </c>
      <c r="Q16" s="19">
        <f>SUM(O16:P16)</f>
        <v>170805</v>
      </c>
      <c r="R16" s="6">
        <f>Q16*0.35%</f>
        <v>598</v>
      </c>
      <c r="S16" s="145">
        <f>4228.41*14.82</f>
        <v>62665</v>
      </c>
      <c r="T16" s="121">
        <f>Q16*$T$7</f>
        <v>163</v>
      </c>
      <c r="U16" s="121">
        <f>Q16*$U$4</f>
        <v>833</v>
      </c>
      <c r="V16" s="121">
        <f>Q16*$V$4</f>
        <v>191</v>
      </c>
      <c r="W16" s="6"/>
      <c r="X16" s="6"/>
      <c r="Y16" s="6"/>
      <c r="Z16" s="6"/>
      <c r="AA16" s="19">
        <f>SUM(Q16:Z16)</f>
        <v>235255</v>
      </c>
      <c r="AB16" s="19">
        <f>$AA16*AB$7</f>
        <v>253515</v>
      </c>
      <c r="AC16" s="15">
        <f>AB16/D16</f>
        <v>59650.59</v>
      </c>
      <c r="AD16" s="15">
        <f>AC16*D16</f>
        <v>253515.01</v>
      </c>
      <c r="AE16" s="25"/>
      <c r="AF16" s="157">
        <f t="shared" si="0"/>
        <v>0.01</v>
      </c>
    </row>
    <row r="17" spans="1:32" s="4" customFormat="1" x14ac:dyDescent="0.25">
      <c r="A17" s="134" t="s">
        <v>267</v>
      </c>
      <c r="B17" s="55" t="s">
        <v>264</v>
      </c>
      <c r="C17" s="24" t="s">
        <v>72</v>
      </c>
      <c r="D17" s="28">
        <v>315</v>
      </c>
      <c r="E17" s="14">
        <f>H17/D17</f>
        <v>124.25</v>
      </c>
      <c r="F17" s="14"/>
      <c r="G17" s="14"/>
      <c r="H17" s="22">
        <f>39138.71</f>
        <v>39139</v>
      </c>
      <c r="I17" s="15"/>
      <c r="J17" s="15"/>
      <c r="K17" s="15"/>
      <c r="L17" s="15"/>
      <c r="M17" s="22"/>
      <c r="N17" s="22"/>
      <c r="O17" s="22">
        <f>H17*9.12</f>
        <v>356948</v>
      </c>
      <c r="P17" s="19">
        <f>O17*4.1%</f>
        <v>14635</v>
      </c>
      <c r="Q17" s="19">
        <f>SUM(O17:P17)</f>
        <v>371583</v>
      </c>
      <c r="R17" s="6">
        <f>Q17*0.35%</f>
        <v>1301</v>
      </c>
      <c r="S17" s="6"/>
      <c r="T17" s="6"/>
      <c r="U17" s="121">
        <f>Q17*$U$4</f>
        <v>1812</v>
      </c>
      <c r="V17" s="121">
        <f>Q17*$V$4</f>
        <v>416</v>
      </c>
      <c r="W17" s="6"/>
      <c r="X17" s="6"/>
      <c r="Y17" s="6"/>
      <c r="Z17" s="6"/>
      <c r="AA17" s="19">
        <f>SUM(Q17:Z17)</f>
        <v>375112</v>
      </c>
      <c r="AB17" s="19">
        <f>$AA17*AB$7</f>
        <v>404228</v>
      </c>
      <c r="AC17" s="15">
        <f>AB17/D17</f>
        <v>1283.26</v>
      </c>
      <c r="AD17" s="15">
        <f>AC17*D17</f>
        <v>404226.9</v>
      </c>
      <c r="AE17" s="25"/>
      <c r="AF17" s="157">
        <f t="shared" si="0"/>
        <v>-1.1000000000000001</v>
      </c>
    </row>
    <row r="18" spans="1:32" s="4" customFormat="1" x14ac:dyDescent="0.25">
      <c r="A18" s="134" t="s">
        <v>268</v>
      </c>
      <c r="B18" s="55" t="s">
        <v>265</v>
      </c>
      <c r="C18" s="24" t="s">
        <v>70</v>
      </c>
      <c r="D18" s="28">
        <f>92*7</f>
        <v>644</v>
      </c>
      <c r="E18" s="14">
        <f>H18/D18</f>
        <v>14.06</v>
      </c>
      <c r="F18" s="14"/>
      <c r="G18" s="14"/>
      <c r="H18" s="22">
        <f>9052.49</f>
        <v>9052</v>
      </c>
      <c r="I18" s="15"/>
      <c r="J18" s="15"/>
      <c r="K18" s="15"/>
      <c r="L18" s="15"/>
      <c r="M18" s="22"/>
      <c r="N18" s="22"/>
      <c r="O18" s="22">
        <f>H18*9.12</f>
        <v>82554</v>
      </c>
      <c r="P18" s="19">
        <f>O18*4.1%</f>
        <v>3385</v>
      </c>
      <c r="Q18" s="19">
        <f>SUM(O18:P18)</f>
        <v>85939</v>
      </c>
      <c r="R18" s="6">
        <f>Q18*0.35%</f>
        <v>301</v>
      </c>
      <c r="S18" s="6"/>
      <c r="T18" s="6"/>
      <c r="U18" s="121">
        <f>Q18*$U$4</f>
        <v>419</v>
      </c>
      <c r="V18" s="121">
        <f>Q18*$V$4</f>
        <v>96</v>
      </c>
      <c r="W18" s="6"/>
      <c r="X18" s="6"/>
      <c r="Y18" s="6"/>
      <c r="Z18" s="6"/>
      <c r="AA18" s="19">
        <f>SUM(Q18:Z18)</f>
        <v>86755</v>
      </c>
      <c r="AB18" s="19">
        <f>$AA18*AB$7</f>
        <v>93489</v>
      </c>
      <c r="AC18" s="15">
        <f>AB18/D18</f>
        <v>145.16999999999999</v>
      </c>
      <c r="AD18" s="15">
        <f>AC18*D18</f>
        <v>93489.48</v>
      </c>
      <c r="AE18" s="25"/>
      <c r="AF18" s="157">
        <f t="shared" si="0"/>
        <v>0.48</v>
      </c>
    </row>
    <row r="19" spans="1:32" s="91" customFormat="1" x14ac:dyDescent="0.25">
      <c r="A19" s="108" t="s">
        <v>336</v>
      </c>
      <c r="B19" s="56" t="s">
        <v>71</v>
      </c>
      <c r="C19" s="92"/>
      <c r="D19" s="93"/>
      <c r="E19" s="94"/>
      <c r="F19" s="94"/>
      <c r="G19" s="94"/>
      <c r="H19" s="99">
        <v>1153990</v>
      </c>
      <c r="I19" s="20"/>
      <c r="J19" s="20">
        <f>1153.99*1000</f>
        <v>1153990</v>
      </c>
      <c r="K19" s="96" t="s">
        <v>236</v>
      </c>
      <c r="L19" s="89">
        <f>H19-J19</f>
        <v>0</v>
      </c>
      <c r="M19" s="95">
        <v>10524390</v>
      </c>
      <c r="N19" s="50">
        <f>M19-SUM(O20:O35)</f>
        <v>12</v>
      </c>
      <c r="O19" s="95"/>
      <c r="P19" s="50"/>
      <c r="Q19" s="50"/>
      <c r="R19" s="50"/>
      <c r="S19" s="30"/>
      <c r="T19" s="30"/>
      <c r="U19" s="126"/>
      <c r="V19" s="126"/>
      <c r="W19" s="50"/>
      <c r="X19" s="30"/>
      <c r="Y19" s="30"/>
      <c r="Z19" s="30"/>
      <c r="AA19" s="50"/>
      <c r="AB19" s="50"/>
      <c r="AC19" s="20"/>
      <c r="AD19" s="20"/>
      <c r="AE19" s="97"/>
      <c r="AF19" s="157">
        <f t="shared" si="0"/>
        <v>0</v>
      </c>
    </row>
    <row r="20" spans="1:32" s="4" customFormat="1" x14ac:dyDescent="0.25">
      <c r="A20" s="64" t="s">
        <v>337</v>
      </c>
      <c r="B20" s="55" t="s">
        <v>301</v>
      </c>
      <c r="C20" s="24" t="s">
        <v>72</v>
      </c>
      <c r="D20" s="28">
        <v>4269</v>
      </c>
      <c r="E20" s="14">
        <f t="shared" ref="E20:E35" si="1">H20/D20</f>
        <v>65.02</v>
      </c>
      <c r="F20" s="14"/>
      <c r="G20" s="14"/>
      <c r="H20" s="22">
        <f>277551.65</f>
        <v>277552</v>
      </c>
      <c r="I20" s="15"/>
      <c r="J20" s="15"/>
      <c r="K20" s="15"/>
      <c r="L20" s="15"/>
      <c r="M20" s="22"/>
      <c r="N20" s="22"/>
      <c r="O20" s="22">
        <f>H20*9.12</f>
        <v>2531274</v>
      </c>
      <c r="P20" s="19">
        <f>O20*4.1%</f>
        <v>103782</v>
      </c>
      <c r="Q20" s="19">
        <f>SUM(O20:P20)</f>
        <v>2635056</v>
      </c>
      <c r="R20" s="6">
        <f>Q20*0.35%</f>
        <v>9223</v>
      </c>
      <c r="S20" s="6"/>
      <c r="T20" s="6"/>
      <c r="U20" s="121">
        <f>Q20*$U$4</f>
        <v>12852</v>
      </c>
      <c r="V20" s="121">
        <f>Q20*$V$4</f>
        <v>2950</v>
      </c>
      <c r="W20" s="6"/>
      <c r="X20" s="6"/>
      <c r="Y20" s="6"/>
      <c r="Z20" s="6"/>
      <c r="AA20" s="19">
        <f>SUM(Q20:Z20)</f>
        <v>2660081</v>
      </c>
      <c r="AB20" s="19">
        <f>$AA20*AB$7</f>
        <v>2866556</v>
      </c>
      <c r="AC20" s="15">
        <f t="shared" ref="AC20:AC35" si="2">AB20/D20</f>
        <v>671.48</v>
      </c>
      <c r="AD20" s="15">
        <f t="shared" ref="AD20:AD35" si="3">AC20*D20</f>
        <v>2866548.12</v>
      </c>
      <c r="AE20" s="25"/>
      <c r="AF20" s="157">
        <f t="shared" si="0"/>
        <v>-7.88</v>
      </c>
    </row>
    <row r="21" spans="1:32" s="4" customFormat="1" x14ac:dyDescent="0.25">
      <c r="A21" s="64" t="s">
        <v>338</v>
      </c>
      <c r="B21" s="55" t="s">
        <v>302</v>
      </c>
      <c r="C21" s="24" t="s">
        <v>72</v>
      </c>
      <c r="D21" s="28">
        <v>5410</v>
      </c>
      <c r="E21" s="14">
        <f t="shared" si="1"/>
        <v>21.83</v>
      </c>
      <c r="F21" s="14"/>
      <c r="G21" s="14"/>
      <c r="H21" s="22">
        <f>118115.8</f>
        <v>118116</v>
      </c>
      <c r="I21" s="15"/>
      <c r="J21" s="15"/>
      <c r="K21" s="15"/>
      <c r="L21" s="15"/>
      <c r="M21" s="22"/>
      <c r="N21" s="22"/>
      <c r="O21" s="22">
        <f t="shared" ref="O21:O35" si="4">H21*9.12</f>
        <v>1077218</v>
      </c>
      <c r="P21" s="19">
        <f t="shared" ref="P21:P35" si="5">O21*4.1%</f>
        <v>44166</v>
      </c>
      <c r="Q21" s="19">
        <f t="shared" ref="Q21:Q35" si="6">SUM(O21:P21)</f>
        <v>1121384</v>
      </c>
      <c r="R21" s="6">
        <f t="shared" ref="R21:R35" si="7">Q21*0.35%</f>
        <v>3925</v>
      </c>
      <c r="S21" s="6"/>
      <c r="T21" s="6"/>
      <c r="U21" s="121">
        <f t="shared" ref="U21:U35" si="8">Q21*$U$4</f>
        <v>5469</v>
      </c>
      <c r="V21" s="121">
        <f t="shared" ref="V21:V35" si="9">Q21*$V$4</f>
        <v>1255</v>
      </c>
      <c r="W21" s="6"/>
      <c r="X21" s="6"/>
      <c r="Y21" s="6"/>
      <c r="Z21" s="6"/>
      <c r="AA21" s="19">
        <f t="shared" ref="AA21:AA35" si="10">SUM(Q21:Z21)</f>
        <v>1132033</v>
      </c>
      <c r="AB21" s="19">
        <f t="shared" ref="AB21:AB35" si="11">$AA21*AB$7</f>
        <v>1219901</v>
      </c>
      <c r="AC21" s="15">
        <f t="shared" si="2"/>
        <v>225.49</v>
      </c>
      <c r="AD21" s="15">
        <f t="shared" si="3"/>
        <v>1219900.8999999999</v>
      </c>
      <c r="AE21" s="25"/>
      <c r="AF21" s="157">
        <f t="shared" si="0"/>
        <v>-0.1</v>
      </c>
    </row>
    <row r="22" spans="1:32" s="4" customFormat="1" x14ac:dyDescent="0.25">
      <c r="A22" s="64" t="s">
        <v>339</v>
      </c>
      <c r="B22" s="55" t="s">
        <v>303</v>
      </c>
      <c r="C22" s="24" t="s">
        <v>70</v>
      </c>
      <c r="D22" s="28">
        <f>10384.3</f>
        <v>10384.299999999999</v>
      </c>
      <c r="E22" s="14">
        <f t="shared" si="1"/>
        <v>24.01</v>
      </c>
      <c r="F22" s="14"/>
      <c r="G22" s="14"/>
      <c r="H22" s="22">
        <f>249342.45</f>
        <v>249342</v>
      </c>
      <c r="I22" s="15"/>
      <c r="J22" s="15"/>
      <c r="K22" s="15"/>
      <c r="L22" s="15"/>
      <c r="M22" s="22"/>
      <c r="N22" s="22"/>
      <c r="O22" s="22">
        <f t="shared" si="4"/>
        <v>2273999</v>
      </c>
      <c r="P22" s="19">
        <f t="shared" si="5"/>
        <v>93234</v>
      </c>
      <c r="Q22" s="19">
        <f t="shared" si="6"/>
        <v>2367233</v>
      </c>
      <c r="R22" s="6">
        <f t="shared" si="7"/>
        <v>8285</v>
      </c>
      <c r="S22" s="6"/>
      <c r="T22" s="6"/>
      <c r="U22" s="121">
        <f t="shared" si="8"/>
        <v>11546</v>
      </c>
      <c r="V22" s="121">
        <f t="shared" si="9"/>
        <v>2650</v>
      </c>
      <c r="W22" s="6"/>
      <c r="X22" s="6"/>
      <c r="Y22" s="6"/>
      <c r="Z22" s="6"/>
      <c r="AA22" s="19">
        <f t="shared" si="10"/>
        <v>2389714</v>
      </c>
      <c r="AB22" s="19">
        <f t="shared" si="11"/>
        <v>2575204</v>
      </c>
      <c r="AC22" s="15">
        <f t="shared" si="2"/>
        <v>247.99</v>
      </c>
      <c r="AD22" s="15">
        <f t="shared" si="3"/>
        <v>2575202.56</v>
      </c>
      <c r="AE22" s="25"/>
      <c r="AF22" s="157">
        <f t="shared" si="0"/>
        <v>-1.44</v>
      </c>
    </row>
    <row r="23" spans="1:32" s="4" customFormat="1" x14ac:dyDescent="0.25">
      <c r="A23" s="64" t="s">
        <v>340</v>
      </c>
      <c r="B23" s="55" t="s">
        <v>304</v>
      </c>
      <c r="C23" s="24" t="s">
        <v>70</v>
      </c>
      <c r="D23" s="28">
        <f>41.1</f>
        <v>41.1</v>
      </c>
      <c r="E23" s="14">
        <f t="shared" si="1"/>
        <v>175.55</v>
      </c>
      <c r="F23" s="14"/>
      <c r="G23" s="14"/>
      <c r="H23" s="22">
        <f>7215.39</f>
        <v>7215</v>
      </c>
      <c r="I23" s="15"/>
      <c r="J23" s="15"/>
      <c r="K23" s="15"/>
      <c r="L23" s="15"/>
      <c r="M23" s="22"/>
      <c r="N23" s="22"/>
      <c r="O23" s="22">
        <f t="shared" si="4"/>
        <v>65801</v>
      </c>
      <c r="P23" s="19">
        <f t="shared" si="5"/>
        <v>2698</v>
      </c>
      <c r="Q23" s="19">
        <f t="shared" si="6"/>
        <v>68499</v>
      </c>
      <c r="R23" s="6">
        <f t="shared" si="7"/>
        <v>240</v>
      </c>
      <c r="S23" s="6"/>
      <c r="T23" s="6"/>
      <c r="U23" s="121">
        <f t="shared" si="8"/>
        <v>334</v>
      </c>
      <c r="V23" s="121">
        <f t="shared" si="9"/>
        <v>77</v>
      </c>
      <c r="W23" s="6"/>
      <c r="X23" s="6"/>
      <c r="Y23" s="6"/>
      <c r="Z23" s="6"/>
      <c r="AA23" s="19">
        <f t="shared" si="10"/>
        <v>69150</v>
      </c>
      <c r="AB23" s="19">
        <f t="shared" si="11"/>
        <v>74517</v>
      </c>
      <c r="AC23" s="15">
        <f t="shared" si="2"/>
        <v>1813.07</v>
      </c>
      <c r="AD23" s="15">
        <f t="shared" si="3"/>
        <v>74517.179999999993</v>
      </c>
      <c r="AE23" s="25"/>
      <c r="AF23" s="157">
        <f t="shared" si="0"/>
        <v>0.18</v>
      </c>
    </row>
    <row r="24" spans="1:32" s="4" customFormat="1" x14ac:dyDescent="0.25">
      <c r="A24" s="64" t="s">
        <v>341</v>
      </c>
      <c r="B24" s="55" t="s">
        <v>305</v>
      </c>
      <c r="C24" s="24" t="s">
        <v>70</v>
      </c>
      <c r="D24" s="28">
        <f>675.1</f>
        <v>675.1</v>
      </c>
      <c r="E24" s="14">
        <f t="shared" si="1"/>
        <v>24.01</v>
      </c>
      <c r="F24" s="14"/>
      <c r="G24" s="14"/>
      <c r="H24" s="22">
        <f>16210.54</f>
        <v>16211</v>
      </c>
      <c r="I24" s="15"/>
      <c r="J24" s="15"/>
      <c r="K24" s="15"/>
      <c r="L24" s="15"/>
      <c r="M24" s="22"/>
      <c r="N24" s="22"/>
      <c r="O24" s="22">
        <f t="shared" si="4"/>
        <v>147844</v>
      </c>
      <c r="P24" s="19">
        <f t="shared" si="5"/>
        <v>6062</v>
      </c>
      <c r="Q24" s="19">
        <f t="shared" si="6"/>
        <v>153906</v>
      </c>
      <c r="R24" s="6">
        <f t="shared" si="7"/>
        <v>539</v>
      </c>
      <c r="S24" s="6"/>
      <c r="T24" s="6"/>
      <c r="U24" s="121">
        <f t="shared" si="8"/>
        <v>751</v>
      </c>
      <c r="V24" s="121">
        <f t="shared" si="9"/>
        <v>172</v>
      </c>
      <c r="W24" s="6"/>
      <c r="X24" s="6"/>
      <c r="Y24" s="6"/>
      <c r="Z24" s="6"/>
      <c r="AA24" s="19">
        <f t="shared" si="10"/>
        <v>155368</v>
      </c>
      <c r="AB24" s="19">
        <f t="shared" si="11"/>
        <v>167428</v>
      </c>
      <c r="AC24" s="15">
        <f t="shared" si="2"/>
        <v>248</v>
      </c>
      <c r="AD24" s="15">
        <f t="shared" si="3"/>
        <v>167424.79999999999</v>
      </c>
      <c r="AE24" s="25"/>
      <c r="AF24" s="157">
        <f t="shared" si="0"/>
        <v>-3.2</v>
      </c>
    </row>
    <row r="25" spans="1:32" s="4" customFormat="1" x14ac:dyDescent="0.25">
      <c r="A25" s="64" t="s">
        <v>342</v>
      </c>
      <c r="B25" s="55" t="s">
        <v>306</v>
      </c>
      <c r="C25" s="24" t="s">
        <v>70</v>
      </c>
      <c r="D25" s="28">
        <f>719.4</f>
        <v>719.4</v>
      </c>
      <c r="E25" s="14">
        <f t="shared" si="1"/>
        <v>24.01</v>
      </c>
      <c r="F25" s="14"/>
      <c r="G25" s="14"/>
      <c r="H25" s="22">
        <f>17273.86</f>
        <v>17274</v>
      </c>
      <c r="I25" s="15"/>
      <c r="J25" s="15"/>
      <c r="K25" s="15"/>
      <c r="L25" s="15"/>
      <c r="M25" s="22"/>
      <c r="N25" s="22"/>
      <c r="O25" s="22">
        <f t="shared" si="4"/>
        <v>157539</v>
      </c>
      <c r="P25" s="19">
        <f t="shared" si="5"/>
        <v>6459</v>
      </c>
      <c r="Q25" s="19">
        <f t="shared" si="6"/>
        <v>163998</v>
      </c>
      <c r="R25" s="6">
        <f t="shared" si="7"/>
        <v>574</v>
      </c>
      <c r="S25" s="6"/>
      <c r="T25" s="6"/>
      <c r="U25" s="121">
        <f t="shared" si="8"/>
        <v>800</v>
      </c>
      <c r="V25" s="121">
        <f t="shared" si="9"/>
        <v>184</v>
      </c>
      <c r="W25" s="6"/>
      <c r="X25" s="6"/>
      <c r="Y25" s="6"/>
      <c r="Z25" s="6"/>
      <c r="AA25" s="19">
        <f t="shared" si="10"/>
        <v>165556</v>
      </c>
      <c r="AB25" s="19">
        <f t="shared" si="11"/>
        <v>178406</v>
      </c>
      <c r="AC25" s="15">
        <f t="shared" si="2"/>
        <v>247.99</v>
      </c>
      <c r="AD25" s="15">
        <f t="shared" si="3"/>
        <v>178404.01</v>
      </c>
      <c r="AE25" s="25"/>
      <c r="AF25" s="157">
        <f t="shared" si="0"/>
        <v>-1.99</v>
      </c>
    </row>
    <row r="26" spans="1:32" s="4" customFormat="1" x14ac:dyDescent="0.25">
      <c r="A26" s="64" t="s">
        <v>343</v>
      </c>
      <c r="B26" s="55" t="s">
        <v>307</v>
      </c>
      <c r="C26" s="24" t="s">
        <v>70</v>
      </c>
      <c r="D26" s="28">
        <f>11.2</f>
        <v>11.2</v>
      </c>
      <c r="E26" s="14">
        <f t="shared" si="1"/>
        <v>23.04</v>
      </c>
      <c r="F26" s="14"/>
      <c r="G26" s="14"/>
      <c r="H26" s="22">
        <f>258.02</f>
        <v>258</v>
      </c>
      <c r="I26" s="15"/>
      <c r="J26" s="15"/>
      <c r="K26" s="15"/>
      <c r="L26" s="15"/>
      <c r="M26" s="22"/>
      <c r="N26" s="22"/>
      <c r="O26" s="22">
        <f t="shared" si="4"/>
        <v>2353</v>
      </c>
      <c r="P26" s="19">
        <f t="shared" si="5"/>
        <v>96</v>
      </c>
      <c r="Q26" s="19">
        <f t="shared" si="6"/>
        <v>2449</v>
      </c>
      <c r="R26" s="6">
        <f t="shared" si="7"/>
        <v>9</v>
      </c>
      <c r="S26" s="6"/>
      <c r="T26" s="6"/>
      <c r="U26" s="121">
        <f t="shared" si="8"/>
        <v>12</v>
      </c>
      <c r="V26" s="121">
        <f t="shared" si="9"/>
        <v>3</v>
      </c>
      <c r="W26" s="6"/>
      <c r="X26" s="6"/>
      <c r="Y26" s="6"/>
      <c r="Z26" s="6"/>
      <c r="AA26" s="19">
        <f t="shared" si="10"/>
        <v>2473</v>
      </c>
      <c r="AB26" s="19">
        <f t="shared" si="11"/>
        <v>2665</v>
      </c>
      <c r="AC26" s="15">
        <f t="shared" si="2"/>
        <v>237.95</v>
      </c>
      <c r="AD26" s="15">
        <f t="shared" si="3"/>
        <v>2665.04</v>
      </c>
      <c r="AE26" s="25"/>
      <c r="AF26" s="157">
        <f t="shared" si="0"/>
        <v>0.04</v>
      </c>
    </row>
    <row r="27" spans="1:32" s="4" customFormat="1" x14ac:dyDescent="0.25">
      <c r="A27" s="64" t="s">
        <v>344</v>
      </c>
      <c r="B27" s="55" t="s">
        <v>308</v>
      </c>
      <c r="C27" s="24" t="s">
        <v>82</v>
      </c>
      <c r="D27" s="28">
        <v>50</v>
      </c>
      <c r="E27" s="14">
        <f t="shared" si="1"/>
        <v>107.88</v>
      </c>
      <c r="F27" s="14"/>
      <c r="G27" s="14"/>
      <c r="H27" s="22">
        <f>5393.7</f>
        <v>5394</v>
      </c>
      <c r="I27" s="15"/>
      <c r="J27" s="15"/>
      <c r="K27" s="15"/>
      <c r="L27" s="15"/>
      <c r="M27" s="22"/>
      <c r="N27" s="22"/>
      <c r="O27" s="22">
        <f t="shared" si="4"/>
        <v>49193</v>
      </c>
      <c r="P27" s="19">
        <f t="shared" si="5"/>
        <v>2017</v>
      </c>
      <c r="Q27" s="19">
        <f t="shared" si="6"/>
        <v>51210</v>
      </c>
      <c r="R27" s="6">
        <f t="shared" si="7"/>
        <v>179</v>
      </c>
      <c r="S27" s="6"/>
      <c r="T27" s="6"/>
      <c r="U27" s="121">
        <f t="shared" si="8"/>
        <v>250</v>
      </c>
      <c r="V27" s="121">
        <f t="shared" si="9"/>
        <v>57</v>
      </c>
      <c r="W27" s="6"/>
      <c r="X27" s="6"/>
      <c r="Y27" s="6"/>
      <c r="Z27" s="6"/>
      <c r="AA27" s="19">
        <f t="shared" si="10"/>
        <v>51696</v>
      </c>
      <c r="AB27" s="19">
        <f t="shared" si="11"/>
        <v>55709</v>
      </c>
      <c r="AC27" s="15">
        <f t="shared" si="2"/>
        <v>1114.18</v>
      </c>
      <c r="AD27" s="15">
        <f t="shared" si="3"/>
        <v>55709</v>
      </c>
      <c r="AE27" s="25"/>
      <c r="AF27" s="157">
        <f t="shared" si="0"/>
        <v>0</v>
      </c>
    </row>
    <row r="28" spans="1:32" s="4" customFormat="1" ht="25.5" x14ac:dyDescent="0.25">
      <c r="A28" s="64" t="s">
        <v>345</v>
      </c>
      <c r="B28" s="55" t="s">
        <v>309</v>
      </c>
      <c r="C28" s="24" t="s">
        <v>72</v>
      </c>
      <c r="D28" s="28">
        <f>87.7</f>
        <v>87.7</v>
      </c>
      <c r="E28" s="14">
        <f t="shared" si="1"/>
        <v>151.96</v>
      </c>
      <c r="F28" s="14"/>
      <c r="G28" s="14"/>
      <c r="H28" s="22">
        <f>13326.63</f>
        <v>13327</v>
      </c>
      <c r="I28" s="15"/>
      <c r="J28" s="15"/>
      <c r="K28" s="15"/>
      <c r="L28" s="15"/>
      <c r="M28" s="22"/>
      <c r="N28" s="22"/>
      <c r="O28" s="22">
        <f t="shared" si="4"/>
        <v>121542</v>
      </c>
      <c r="P28" s="19">
        <f t="shared" si="5"/>
        <v>4983</v>
      </c>
      <c r="Q28" s="19">
        <f t="shared" si="6"/>
        <v>126525</v>
      </c>
      <c r="R28" s="6">
        <f t="shared" si="7"/>
        <v>443</v>
      </c>
      <c r="S28" s="6"/>
      <c r="T28" s="6"/>
      <c r="U28" s="121">
        <f t="shared" si="8"/>
        <v>617</v>
      </c>
      <c r="V28" s="121">
        <f t="shared" si="9"/>
        <v>142</v>
      </c>
      <c r="W28" s="6"/>
      <c r="X28" s="6"/>
      <c r="Y28" s="6"/>
      <c r="Z28" s="6"/>
      <c r="AA28" s="19">
        <f t="shared" si="10"/>
        <v>127727</v>
      </c>
      <c r="AB28" s="19">
        <f t="shared" si="11"/>
        <v>137641</v>
      </c>
      <c r="AC28" s="15">
        <f t="shared" si="2"/>
        <v>1569.45</v>
      </c>
      <c r="AD28" s="15">
        <f t="shared" si="3"/>
        <v>137640.76999999999</v>
      </c>
      <c r="AE28" s="25"/>
      <c r="AF28" s="157">
        <f t="shared" si="0"/>
        <v>-0.23</v>
      </c>
    </row>
    <row r="29" spans="1:32" s="4" customFormat="1" ht="25.5" x14ac:dyDescent="0.25">
      <c r="A29" s="64" t="s">
        <v>346</v>
      </c>
      <c r="B29" s="55" t="s">
        <v>317</v>
      </c>
      <c r="C29" s="24" t="s">
        <v>82</v>
      </c>
      <c r="D29" s="28">
        <v>13.1</v>
      </c>
      <c r="E29" s="14">
        <f t="shared" si="1"/>
        <v>231.83</v>
      </c>
      <c r="F29" s="14"/>
      <c r="G29" s="14"/>
      <c r="H29" s="22">
        <f>3037.43</f>
        <v>3037</v>
      </c>
      <c r="I29" s="15"/>
      <c r="J29" s="15"/>
      <c r="K29" s="15"/>
      <c r="L29" s="15"/>
      <c r="M29" s="22"/>
      <c r="N29" s="22"/>
      <c r="O29" s="22">
        <f t="shared" si="4"/>
        <v>27697</v>
      </c>
      <c r="P29" s="19">
        <f t="shared" si="5"/>
        <v>1136</v>
      </c>
      <c r="Q29" s="19">
        <f t="shared" si="6"/>
        <v>28833</v>
      </c>
      <c r="R29" s="6">
        <f t="shared" si="7"/>
        <v>101</v>
      </c>
      <c r="S29" s="6"/>
      <c r="T29" s="6"/>
      <c r="U29" s="121">
        <f t="shared" si="8"/>
        <v>141</v>
      </c>
      <c r="V29" s="121">
        <f t="shared" si="9"/>
        <v>32</v>
      </c>
      <c r="W29" s="6"/>
      <c r="X29" s="6"/>
      <c r="Y29" s="6"/>
      <c r="Z29" s="6"/>
      <c r="AA29" s="19">
        <f t="shared" si="10"/>
        <v>29107</v>
      </c>
      <c r="AB29" s="19">
        <f t="shared" si="11"/>
        <v>31366</v>
      </c>
      <c r="AC29" s="15">
        <f t="shared" si="2"/>
        <v>2394.35</v>
      </c>
      <c r="AD29" s="15">
        <f t="shared" si="3"/>
        <v>31365.99</v>
      </c>
      <c r="AE29" s="25"/>
      <c r="AF29" s="157">
        <f t="shared" si="0"/>
        <v>-0.01</v>
      </c>
    </row>
    <row r="30" spans="1:32" s="4" customFormat="1" x14ac:dyDescent="0.25">
      <c r="A30" s="64" t="s">
        <v>347</v>
      </c>
      <c r="B30" s="55" t="s">
        <v>310</v>
      </c>
      <c r="C30" s="24" t="s">
        <v>70</v>
      </c>
      <c r="D30" s="28">
        <v>4.04</v>
      </c>
      <c r="E30" s="14">
        <f t="shared" si="1"/>
        <v>2405.94</v>
      </c>
      <c r="F30" s="14"/>
      <c r="G30" s="14"/>
      <c r="H30" s="22">
        <f>9720.43</f>
        <v>9720</v>
      </c>
      <c r="I30" s="15"/>
      <c r="J30" s="15"/>
      <c r="K30" s="15"/>
      <c r="L30" s="15"/>
      <c r="M30" s="22"/>
      <c r="N30" s="22"/>
      <c r="O30" s="22">
        <f t="shared" si="4"/>
        <v>88646</v>
      </c>
      <c r="P30" s="19">
        <f t="shared" si="5"/>
        <v>3634</v>
      </c>
      <c r="Q30" s="19">
        <f t="shared" si="6"/>
        <v>92280</v>
      </c>
      <c r="R30" s="6">
        <f t="shared" si="7"/>
        <v>323</v>
      </c>
      <c r="S30" s="6"/>
      <c r="T30" s="6"/>
      <c r="U30" s="121">
        <f t="shared" si="8"/>
        <v>450</v>
      </c>
      <c r="V30" s="121">
        <f t="shared" si="9"/>
        <v>103</v>
      </c>
      <c r="W30" s="6"/>
      <c r="X30" s="6"/>
      <c r="Y30" s="6"/>
      <c r="Z30" s="6"/>
      <c r="AA30" s="19">
        <f t="shared" si="10"/>
        <v>93156</v>
      </c>
      <c r="AB30" s="19">
        <f t="shared" si="11"/>
        <v>100387</v>
      </c>
      <c r="AC30" s="15">
        <f t="shared" si="2"/>
        <v>24848.27</v>
      </c>
      <c r="AD30" s="15">
        <f t="shared" si="3"/>
        <v>100387.01</v>
      </c>
      <c r="AE30" s="25"/>
      <c r="AF30" s="157">
        <f t="shared" si="0"/>
        <v>0.01</v>
      </c>
    </row>
    <row r="31" spans="1:32" s="4" customFormat="1" ht="25.5" x14ac:dyDescent="0.25">
      <c r="A31" s="64" t="s">
        <v>348</v>
      </c>
      <c r="B31" s="55" t="s">
        <v>316</v>
      </c>
      <c r="C31" s="24" t="s">
        <v>82</v>
      </c>
      <c r="D31" s="28">
        <v>41.3</v>
      </c>
      <c r="E31" s="14">
        <f t="shared" si="1"/>
        <v>521.16</v>
      </c>
      <c r="F31" s="14"/>
      <c r="G31" s="14"/>
      <c r="H31" s="22">
        <f>21524.34</f>
        <v>21524</v>
      </c>
      <c r="I31" s="15"/>
      <c r="J31" s="15"/>
      <c r="K31" s="15"/>
      <c r="L31" s="15"/>
      <c r="M31" s="22"/>
      <c r="N31" s="22"/>
      <c r="O31" s="22">
        <f t="shared" si="4"/>
        <v>196299</v>
      </c>
      <c r="P31" s="19">
        <f t="shared" si="5"/>
        <v>8048</v>
      </c>
      <c r="Q31" s="19">
        <f t="shared" si="6"/>
        <v>204347</v>
      </c>
      <c r="R31" s="6">
        <f t="shared" si="7"/>
        <v>715</v>
      </c>
      <c r="S31" s="6"/>
      <c r="T31" s="6"/>
      <c r="U31" s="121">
        <f t="shared" si="8"/>
        <v>997</v>
      </c>
      <c r="V31" s="121">
        <f t="shared" si="9"/>
        <v>229</v>
      </c>
      <c r="W31" s="6"/>
      <c r="X31" s="6"/>
      <c r="Y31" s="6"/>
      <c r="Z31" s="6"/>
      <c r="AA31" s="19">
        <f t="shared" si="10"/>
        <v>206288</v>
      </c>
      <c r="AB31" s="19">
        <f t="shared" si="11"/>
        <v>222300</v>
      </c>
      <c r="AC31" s="15">
        <f t="shared" si="2"/>
        <v>5382.57</v>
      </c>
      <c r="AD31" s="15">
        <f t="shared" si="3"/>
        <v>222300.14</v>
      </c>
      <c r="AE31" s="25"/>
      <c r="AF31" s="157">
        <f t="shared" si="0"/>
        <v>0.14000000000000001</v>
      </c>
    </row>
    <row r="32" spans="1:32" s="4" customFormat="1" x14ac:dyDescent="0.25">
      <c r="A32" s="64" t="s">
        <v>349</v>
      </c>
      <c r="B32" s="55" t="s">
        <v>312</v>
      </c>
      <c r="C32" s="24" t="s">
        <v>311</v>
      </c>
      <c r="D32" s="28">
        <v>2.52</v>
      </c>
      <c r="E32" s="14">
        <f t="shared" si="1"/>
        <v>12751.98</v>
      </c>
      <c r="F32" s="14"/>
      <c r="G32" s="14"/>
      <c r="H32" s="22">
        <f>32135.11</f>
        <v>32135</v>
      </c>
      <c r="I32" s="15"/>
      <c r="J32" s="15"/>
      <c r="K32" s="15"/>
      <c r="L32" s="15"/>
      <c r="M32" s="22"/>
      <c r="N32" s="22"/>
      <c r="O32" s="22">
        <f t="shared" si="4"/>
        <v>293071</v>
      </c>
      <c r="P32" s="19">
        <f t="shared" si="5"/>
        <v>12016</v>
      </c>
      <c r="Q32" s="19">
        <f t="shared" si="6"/>
        <v>305087</v>
      </c>
      <c r="R32" s="6">
        <f t="shared" si="7"/>
        <v>1068</v>
      </c>
      <c r="S32" s="6"/>
      <c r="T32" s="6"/>
      <c r="U32" s="121">
        <f t="shared" si="8"/>
        <v>1488</v>
      </c>
      <c r="V32" s="121">
        <f t="shared" si="9"/>
        <v>342</v>
      </c>
      <c r="W32" s="6"/>
      <c r="X32" s="6"/>
      <c r="Y32" s="6"/>
      <c r="Z32" s="6"/>
      <c r="AA32" s="19">
        <f t="shared" si="10"/>
        <v>307985</v>
      </c>
      <c r="AB32" s="19">
        <f t="shared" si="11"/>
        <v>331891</v>
      </c>
      <c r="AC32" s="15">
        <f t="shared" si="2"/>
        <v>131702.78</v>
      </c>
      <c r="AD32" s="15">
        <f t="shared" si="3"/>
        <v>331891.01</v>
      </c>
      <c r="AE32" s="25"/>
      <c r="AF32" s="157">
        <f t="shared" si="0"/>
        <v>0.01</v>
      </c>
    </row>
    <row r="33" spans="1:32" s="4" customFormat="1" x14ac:dyDescent="0.25">
      <c r="A33" s="64" t="s">
        <v>350</v>
      </c>
      <c r="B33" s="55" t="s">
        <v>314</v>
      </c>
      <c r="C33" s="24" t="s">
        <v>82</v>
      </c>
      <c r="D33" s="28">
        <v>2526.3000000000002</v>
      </c>
      <c r="E33" s="14">
        <f t="shared" si="1"/>
        <v>104.74</v>
      </c>
      <c r="F33" s="14"/>
      <c r="G33" s="14"/>
      <c r="H33" s="22">
        <f>264600.38</f>
        <v>264600</v>
      </c>
      <c r="I33" s="15"/>
      <c r="J33" s="15"/>
      <c r="K33" s="15"/>
      <c r="L33" s="15"/>
      <c r="M33" s="22"/>
      <c r="N33" s="22"/>
      <c r="O33" s="22">
        <f t="shared" si="4"/>
        <v>2413152</v>
      </c>
      <c r="P33" s="19">
        <f t="shared" si="5"/>
        <v>98939</v>
      </c>
      <c r="Q33" s="19">
        <f t="shared" si="6"/>
        <v>2512091</v>
      </c>
      <c r="R33" s="6">
        <f t="shared" si="7"/>
        <v>8792</v>
      </c>
      <c r="S33" s="6"/>
      <c r="T33" s="6"/>
      <c r="U33" s="121">
        <f t="shared" si="8"/>
        <v>12253</v>
      </c>
      <c r="V33" s="121">
        <f t="shared" si="9"/>
        <v>2812</v>
      </c>
      <c r="W33" s="6"/>
      <c r="X33" s="6"/>
      <c r="Y33" s="6"/>
      <c r="Z33" s="6"/>
      <c r="AA33" s="19">
        <f t="shared" si="10"/>
        <v>2535948</v>
      </c>
      <c r="AB33" s="19">
        <f t="shared" si="11"/>
        <v>2732788</v>
      </c>
      <c r="AC33" s="15">
        <f t="shared" si="2"/>
        <v>1081.74</v>
      </c>
      <c r="AD33" s="15">
        <f t="shared" si="3"/>
        <v>2732799.76</v>
      </c>
      <c r="AE33" s="25"/>
      <c r="AF33" s="157">
        <f t="shared" si="0"/>
        <v>11.76</v>
      </c>
    </row>
    <row r="34" spans="1:32" s="4" customFormat="1" x14ac:dyDescent="0.25">
      <c r="A34" s="64" t="s">
        <v>351</v>
      </c>
      <c r="B34" s="55" t="s">
        <v>313</v>
      </c>
      <c r="C34" s="24" t="s">
        <v>82</v>
      </c>
      <c r="D34" s="28">
        <f>2396</f>
        <v>2396</v>
      </c>
      <c r="E34" s="14">
        <f t="shared" si="1"/>
        <v>49.34</v>
      </c>
      <c r="F34" s="14"/>
      <c r="G34" s="14"/>
      <c r="H34" s="22">
        <f>118215.75</f>
        <v>118216</v>
      </c>
      <c r="I34" s="15"/>
      <c r="J34" s="15"/>
      <c r="K34" s="15"/>
      <c r="L34" s="15"/>
      <c r="M34" s="22"/>
      <c r="N34" s="22"/>
      <c r="O34" s="22">
        <f t="shared" si="4"/>
        <v>1078130</v>
      </c>
      <c r="P34" s="19">
        <f t="shared" si="5"/>
        <v>44203</v>
      </c>
      <c r="Q34" s="19">
        <f t="shared" si="6"/>
        <v>1122333</v>
      </c>
      <c r="R34" s="6">
        <f t="shared" si="7"/>
        <v>3928</v>
      </c>
      <c r="S34" s="6"/>
      <c r="T34" s="6"/>
      <c r="U34" s="121">
        <f t="shared" si="8"/>
        <v>5474</v>
      </c>
      <c r="V34" s="121">
        <f t="shared" si="9"/>
        <v>1256</v>
      </c>
      <c r="W34" s="6"/>
      <c r="X34" s="6"/>
      <c r="Y34" s="6"/>
      <c r="Z34" s="6"/>
      <c r="AA34" s="19">
        <f t="shared" si="10"/>
        <v>1132991</v>
      </c>
      <c r="AB34" s="19">
        <f t="shared" si="11"/>
        <v>1220934</v>
      </c>
      <c r="AC34" s="15">
        <f t="shared" si="2"/>
        <v>509.57</v>
      </c>
      <c r="AD34" s="15">
        <f t="shared" si="3"/>
        <v>1220929.72</v>
      </c>
      <c r="AE34" s="25"/>
      <c r="AF34" s="157">
        <f t="shared" si="0"/>
        <v>-4.28</v>
      </c>
    </row>
    <row r="35" spans="1:32" s="4" customFormat="1" x14ac:dyDescent="0.25">
      <c r="A35" s="64" t="s">
        <v>352</v>
      </c>
      <c r="B35" s="55" t="s">
        <v>315</v>
      </c>
      <c r="C35" s="24" t="s">
        <v>67</v>
      </c>
      <c r="D35" s="28">
        <f>20</f>
        <v>20</v>
      </c>
      <c r="E35" s="14">
        <f t="shared" si="1"/>
        <v>3.4</v>
      </c>
      <c r="F35" s="14"/>
      <c r="G35" s="14"/>
      <c r="H35" s="22">
        <f>67.96</f>
        <v>68</v>
      </c>
      <c r="I35" s="15"/>
      <c r="J35" s="15"/>
      <c r="K35" s="15"/>
      <c r="L35" s="15"/>
      <c r="M35" s="22"/>
      <c r="N35" s="22"/>
      <c r="O35" s="22">
        <f t="shared" si="4"/>
        <v>620</v>
      </c>
      <c r="P35" s="19">
        <f t="shared" si="5"/>
        <v>25</v>
      </c>
      <c r="Q35" s="19">
        <f t="shared" si="6"/>
        <v>645</v>
      </c>
      <c r="R35" s="6">
        <f t="shared" si="7"/>
        <v>2</v>
      </c>
      <c r="S35" s="6"/>
      <c r="T35" s="6"/>
      <c r="U35" s="121">
        <f t="shared" si="8"/>
        <v>3</v>
      </c>
      <c r="V35" s="121">
        <f t="shared" si="9"/>
        <v>1</v>
      </c>
      <c r="W35" s="6"/>
      <c r="X35" s="6"/>
      <c r="Y35" s="6"/>
      <c r="Z35" s="6"/>
      <c r="AA35" s="19">
        <f t="shared" si="10"/>
        <v>651</v>
      </c>
      <c r="AB35" s="19">
        <f t="shared" si="11"/>
        <v>702</v>
      </c>
      <c r="AC35" s="15">
        <f t="shared" si="2"/>
        <v>35.1</v>
      </c>
      <c r="AD35" s="15">
        <f t="shared" si="3"/>
        <v>702</v>
      </c>
      <c r="AE35" s="25"/>
      <c r="AF35" s="157">
        <f t="shared" si="0"/>
        <v>0</v>
      </c>
    </row>
    <row r="36" spans="1:32" s="4" customFormat="1" ht="13.5" collapsed="1" x14ac:dyDescent="0.25">
      <c r="A36" s="10" t="s">
        <v>1298</v>
      </c>
      <c r="B36" s="17" t="s">
        <v>79</v>
      </c>
      <c r="C36" s="21"/>
      <c r="D36" s="13"/>
      <c r="E36" s="14"/>
      <c r="F36" s="14"/>
      <c r="G36" s="14"/>
      <c r="H36" s="22"/>
      <c r="I36" s="15"/>
      <c r="J36" s="125"/>
      <c r="K36" s="15"/>
      <c r="L36" s="15"/>
      <c r="M36" s="22"/>
      <c r="N36" s="22"/>
      <c r="O36" s="22"/>
      <c r="P36" s="19"/>
      <c r="Q36" s="19"/>
      <c r="R36" s="6"/>
      <c r="S36" s="6"/>
      <c r="T36" s="6"/>
      <c r="U36" s="6"/>
      <c r="V36" s="6"/>
      <c r="W36" s="6"/>
      <c r="X36" s="6"/>
      <c r="Y36" s="6"/>
      <c r="Z36" s="6"/>
      <c r="AA36" s="19"/>
      <c r="AB36" s="19"/>
      <c r="AC36" s="15"/>
      <c r="AD36" s="207"/>
      <c r="AE36" s="25"/>
      <c r="AF36" s="157">
        <f t="shared" si="0"/>
        <v>0</v>
      </c>
    </row>
    <row r="37" spans="1:32" s="91" customFormat="1" x14ac:dyDescent="0.25">
      <c r="A37" s="87" t="s">
        <v>1299</v>
      </c>
      <c r="B37" s="88" t="s">
        <v>90</v>
      </c>
      <c r="C37" s="92"/>
      <c r="D37" s="93"/>
      <c r="E37" s="94"/>
      <c r="F37" s="94"/>
      <c r="G37" s="94"/>
      <c r="H37" s="99">
        <v>14167070</v>
      </c>
      <c r="I37" s="20"/>
      <c r="J37" s="20">
        <f>14167.07*1000</f>
        <v>14167070</v>
      </c>
      <c r="K37" s="20" t="s">
        <v>74</v>
      </c>
      <c r="L37" s="20">
        <f>H37-J37</f>
        <v>0</v>
      </c>
      <c r="M37" s="95">
        <v>129203650</v>
      </c>
      <c r="N37" s="50">
        <f>M37-SUM(O38:O55)</f>
        <v>-1</v>
      </c>
      <c r="O37" s="95"/>
      <c r="P37" s="50"/>
      <c r="Q37" s="50"/>
      <c r="R37" s="50"/>
      <c r="S37" s="30"/>
      <c r="T37" s="30"/>
      <c r="U37" s="126"/>
      <c r="V37" s="131"/>
      <c r="W37" s="30"/>
      <c r="X37" s="30"/>
      <c r="Y37" s="30"/>
      <c r="Z37" s="30"/>
      <c r="AA37" s="50"/>
      <c r="AB37" s="50"/>
      <c r="AC37" s="20"/>
      <c r="AD37" s="20"/>
      <c r="AE37" s="97"/>
      <c r="AF37" s="157">
        <f t="shared" si="0"/>
        <v>0</v>
      </c>
    </row>
    <row r="38" spans="1:32" s="4" customFormat="1" x14ac:dyDescent="0.25">
      <c r="A38" s="65" t="s">
        <v>1379</v>
      </c>
      <c r="B38" s="55" t="s">
        <v>318</v>
      </c>
      <c r="C38" s="29" t="s">
        <v>82</v>
      </c>
      <c r="D38" s="208">
        <v>2993.53</v>
      </c>
      <c r="E38" s="14">
        <f>H38/D38</f>
        <v>308.67</v>
      </c>
      <c r="F38" s="14"/>
      <c r="G38" s="14"/>
      <c r="H38" s="135">
        <v>924013</v>
      </c>
      <c r="I38" s="15"/>
      <c r="J38" s="15"/>
      <c r="K38" s="15"/>
      <c r="L38" s="15"/>
      <c r="M38" s="22"/>
      <c r="N38" s="22"/>
      <c r="O38" s="22">
        <f>H38*9.12</f>
        <v>8426999</v>
      </c>
      <c r="P38" s="19">
        <f>O38*4.1%</f>
        <v>345507</v>
      </c>
      <c r="Q38" s="19">
        <f>SUM(O38:P38)</f>
        <v>8772506</v>
      </c>
      <c r="R38" s="6">
        <f>Q38*0.35%</f>
        <v>30704</v>
      </c>
      <c r="S38" s="6"/>
      <c r="T38" s="6"/>
      <c r="U38" s="121">
        <f>Q38*$U$4</f>
        <v>42787</v>
      </c>
      <c r="V38" s="131">
        <f>Q38*$V$5</f>
        <v>4896</v>
      </c>
      <c r="W38" s="6"/>
      <c r="X38" s="6"/>
      <c r="Y38" s="6"/>
      <c r="Z38" s="6"/>
      <c r="AA38" s="19">
        <f>SUM(Q38:Z38)</f>
        <v>8850893</v>
      </c>
      <c r="AB38" s="19">
        <f>$AA38*AB$7</f>
        <v>9537899</v>
      </c>
      <c r="AC38" s="15">
        <f t="shared" ref="AC38:AC55" si="12">AB38/D38</f>
        <v>3186.17</v>
      </c>
      <c r="AD38" s="15">
        <f t="shared" ref="AD38:AD55" si="13">AC38*D38</f>
        <v>9537895.4800000004</v>
      </c>
      <c r="AE38" s="25"/>
      <c r="AF38" s="157">
        <f t="shared" si="0"/>
        <v>-3.52</v>
      </c>
    </row>
    <row r="39" spans="1:32" s="4" customFormat="1" x14ac:dyDescent="0.25">
      <c r="A39" s="65" t="s">
        <v>1380</v>
      </c>
      <c r="B39" s="55" t="s">
        <v>319</v>
      </c>
      <c r="C39" s="29" t="s">
        <v>82</v>
      </c>
      <c r="D39" s="208">
        <v>2060.3000000000002</v>
      </c>
      <c r="E39" s="14">
        <f t="shared" ref="E39:E55" si="14">H39/D39</f>
        <v>360.65</v>
      </c>
      <c r="F39" s="14"/>
      <c r="G39" s="14"/>
      <c r="H39" s="135">
        <v>743051</v>
      </c>
      <c r="I39" s="15"/>
      <c r="J39" s="15"/>
      <c r="K39" s="15"/>
      <c r="L39" s="15"/>
      <c r="M39" s="22"/>
      <c r="N39" s="22"/>
      <c r="O39" s="22">
        <f t="shared" ref="O39:O55" si="15">H39*9.12</f>
        <v>6776625</v>
      </c>
      <c r="P39" s="19">
        <f t="shared" ref="P39:P55" si="16">O39*4.1%</f>
        <v>277842</v>
      </c>
      <c r="Q39" s="19">
        <f t="shared" ref="Q39:Q55" si="17">SUM(O39:P39)</f>
        <v>7054467</v>
      </c>
      <c r="R39" s="6">
        <f t="shared" ref="R39:R55" si="18">Q39*0.35%</f>
        <v>24691</v>
      </c>
      <c r="S39" s="6"/>
      <c r="T39" s="6"/>
      <c r="U39" s="121">
        <f t="shared" ref="U39:U55" si="19">Q39*$U$4</f>
        <v>34408</v>
      </c>
      <c r="V39" s="131">
        <f t="shared" ref="V39:V55" si="20">Q39*$V$5</f>
        <v>3938</v>
      </c>
      <c r="W39" s="6"/>
      <c r="X39" s="6"/>
      <c r="Y39" s="6"/>
      <c r="Z39" s="6"/>
      <c r="AA39" s="19">
        <f t="shared" ref="AA39:AA55" si="21">SUM(Q39:Z39)</f>
        <v>7117504</v>
      </c>
      <c r="AB39" s="19">
        <f t="shared" ref="AB39:AB55" si="22">$AA39*AB$7</f>
        <v>7669965</v>
      </c>
      <c r="AC39" s="15">
        <f t="shared" si="12"/>
        <v>3722.74</v>
      </c>
      <c r="AD39" s="15">
        <f t="shared" si="13"/>
        <v>7669961.2199999997</v>
      </c>
      <c r="AE39" s="25"/>
      <c r="AF39" s="157">
        <f t="shared" si="0"/>
        <v>-3.78</v>
      </c>
    </row>
    <row r="40" spans="1:32" s="4" customFormat="1" x14ac:dyDescent="0.25">
      <c r="A40" s="65" t="s">
        <v>1381</v>
      </c>
      <c r="B40" s="55" t="s">
        <v>320</v>
      </c>
      <c r="C40" s="29" t="s">
        <v>82</v>
      </c>
      <c r="D40" s="208">
        <v>2074.52</v>
      </c>
      <c r="E40" s="14">
        <f t="shared" si="14"/>
        <v>358.36</v>
      </c>
      <c r="F40" s="14"/>
      <c r="G40" s="14"/>
      <c r="H40" s="135">
        <v>743426</v>
      </c>
      <c r="I40" s="15"/>
      <c r="J40" s="15"/>
      <c r="K40" s="15"/>
      <c r="L40" s="15"/>
      <c r="M40" s="22"/>
      <c r="N40" s="22"/>
      <c r="O40" s="22">
        <f t="shared" si="15"/>
        <v>6780045</v>
      </c>
      <c r="P40" s="19">
        <f t="shared" si="16"/>
        <v>277982</v>
      </c>
      <c r="Q40" s="19">
        <f t="shared" si="17"/>
        <v>7058027</v>
      </c>
      <c r="R40" s="6">
        <f t="shared" si="18"/>
        <v>24703</v>
      </c>
      <c r="S40" s="6"/>
      <c r="T40" s="6"/>
      <c r="U40" s="121">
        <f t="shared" si="19"/>
        <v>34425</v>
      </c>
      <c r="V40" s="131">
        <f t="shared" si="20"/>
        <v>3940</v>
      </c>
      <c r="W40" s="6"/>
      <c r="X40" s="6"/>
      <c r="Y40" s="6"/>
      <c r="Z40" s="6"/>
      <c r="AA40" s="19">
        <f t="shared" si="21"/>
        <v>7121095</v>
      </c>
      <c r="AB40" s="19">
        <f t="shared" si="22"/>
        <v>7673834</v>
      </c>
      <c r="AC40" s="15">
        <f t="shared" si="12"/>
        <v>3699.09</v>
      </c>
      <c r="AD40" s="15">
        <f t="shared" si="13"/>
        <v>7673836.1900000004</v>
      </c>
      <c r="AE40" s="25"/>
      <c r="AF40" s="157">
        <f t="shared" si="0"/>
        <v>2.19</v>
      </c>
    </row>
    <row r="41" spans="1:32" s="4" customFormat="1" x14ac:dyDescent="0.25">
      <c r="A41" s="65" t="s">
        <v>1382</v>
      </c>
      <c r="B41" s="55" t="s">
        <v>321</v>
      </c>
      <c r="C41" s="29" t="s">
        <v>82</v>
      </c>
      <c r="D41" s="208">
        <v>4580.82</v>
      </c>
      <c r="E41" s="14">
        <f t="shared" si="14"/>
        <v>161.44999999999999</v>
      </c>
      <c r="F41" s="14"/>
      <c r="G41" s="14"/>
      <c r="H41" s="135">
        <v>739565</v>
      </c>
      <c r="I41" s="15"/>
      <c r="J41" s="15"/>
      <c r="K41" s="15"/>
      <c r="L41" s="15"/>
      <c r="M41" s="22"/>
      <c r="N41" s="22"/>
      <c r="O41" s="22">
        <f t="shared" si="15"/>
        <v>6744833</v>
      </c>
      <c r="P41" s="19">
        <f t="shared" si="16"/>
        <v>276538</v>
      </c>
      <c r="Q41" s="19">
        <f t="shared" si="17"/>
        <v>7021371</v>
      </c>
      <c r="R41" s="6">
        <f t="shared" si="18"/>
        <v>24575</v>
      </c>
      <c r="S41" s="6"/>
      <c r="T41" s="6"/>
      <c r="U41" s="121">
        <f t="shared" si="19"/>
        <v>34246</v>
      </c>
      <c r="V41" s="131">
        <f t="shared" si="20"/>
        <v>3919</v>
      </c>
      <c r="W41" s="6"/>
      <c r="X41" s="6"/>
      <c r="Y41" s="6"/>
      <c r="Z41" s="6"/>
      <c r="AA41" s="19">
        <f t="shared" si="21"/>
        <v>7084111</v>
      </c>
      <c r="AB41" s="19">
        <f t="shared" si="22"/>
        <v>7633980</v>
      </c>
      <c r="AC41" s="15">
        <f t="shared" si="12"/>
        <v>1666.51</v>
      </c>
      <c r="AD41" s="15">
        <f t="shared" si="13"/>
        <v>7633982.3399999999</v>
      </c>
      <c r="AE41" s="25"/>
      <c r="AF41" s="157">
        <f t="shared" si="0"/>
        <v>2.34</v>
      </c>
    </row>
    <row r="42" spans="1:32" s="4" customFormat="1" x14ac:dyDescent="0.25">
      <c r="A42" s="65" t="s">
        <v>1383</v>
      </c>
      <c r="B42" s="55" t="s">
        <v>322</v>
      </c>
      <c r="C42" s="29" t="s">
        <v>82</v>
      </c>
      <c r="D42" s="208">
        <v>1757.45</v>
      </c>
      <c r="E42" s="14">
        <f t="shared" si="14"/>
        <v>415.94</v>
      </c>
      <c r="F42" s="14"/>
      <c r="G42" s="14"/>
      <c r="H42" s="135">
        <v>730992</v>
      </c>
      <c r="I42" s="15"/>
      <c r="J42" s="15"/>
      <c r="K42" s="15"/>
      <c r="L42" s="15"/>
      <c r="M42" s="22"/>
      <c r="N42" s="22"/>
      <c r="O42" s="22">
        <f t="shared" si="15"/>
        <v>6666647</v>
      </c>
      <c r="P42" s="19">
        <f t="shared" si="16"/>
        <v>273333</v>
      </c>
      <c r="Q42" s="19">
        <f t="shared" si="17"/>
        <v>6939980</v>
      </c>
      <c r="R42" s="6">
        <f t="shared" si="18"/>
        <v>24290</v>
      </c>
      <c r="S42" s="6"/>
      <c r="T42" s="6"/>
      <c r="U42" s="121">
        <f t="shared" si="19"/>
        <v>33849</v>
      </c>
      <c r="V42" s="131">
        <f t="shared" si="20"/>
        <v>3874</v>
      </c>
      <c r="W42" s="6"/>
      <c r="X42" s="6"/>
      <c r="Y42" s="6"/>
      <c r="Z42" s="6"/>
      <c r="AA42" s="19">
        <f t="shared" si="21"/>
        <v>7001993</v>
      </c>
      <c r="AB42" s="19">
        <f t="shared" si="22"/>
        <v>7545488</v>
      </c>
      <c r="AC42" s="15">
        <f t="shared" si="12"/>
        <v>4293.43</v>
      </c>
      <c r="AD42" s="15">
        <f t="shared" si="13"/>
        <v>7545488.5499999998</v>
      </c>
      <c r="AE42" s="25"/>
      <c r="AF42" s="157">
        <f t="shared" si="0"/>
        <v>0.55000000000000004</v>
      </c>
    </row>
    <row r="43" spans="1:32" s="4" customFormat="1" ht="25.5" x14ac:dyDescent="0.25">
      <c r="A43" s="65" t="s">
        <v>1384</v>
      </c>
      <c r="B43" s="55" t="s">
        <v>323</v>
      </c>
      <c r="C43" s="29" t="s">
        <v>82</v>
      </c>
      <c r="D43" s="208">
        <v>4735.97</v>
      </c>
      <c r="E43" s="14">
        <f t="shared" si="14"/>
        <v>211.42</v>
      </c>
      <c r="F43" s="14"/>
      <c r="G43" s="14"/>
      <c r="H43" s="135">
        <v>1001292</v>
      </c>
      <c r="I43" s="15"/>
      <c r="J43" s="15"/>
      <c r="K43" s="15"/>
      <c r="L43" s="15"/>
      <c r="M43" s="22"/>
      <c r="N43" s="22"/>
      <c r="O43" s="22">
        <f t="shared" si="15"/>
        <v>9131783</v>
      </c>
      <c r="P43" s="19">
        <f t="shared" si="16"/>
        <v>374403</v>
      </c>
      <c r="Q43" s="19">
        <f t="shared" si="17"/>
        <v>9506186</v>
      </c>
      <c r="R43" s="6">
        <f t="shared" si="18"/>
        <v>33272</v>
      </c>
      <c r="S43" s="6"/>
      <c r="T43" s="6"/>
      <c r="U43" s="121">
        <f t="shared" si="19"/>
        <v>46366</v>
      </c>
      <c r="V43" s="131">
        <f t="shared" si="20"/>
        <v>5306</v>
      </c>
      <c r="W43" s="6"/>
      <c r="X43" s="6"/>
      <c r="Y43" s="6"/>
      <c r="Z43" s="6"/>
      <c r="AA43" s="19">
        <f t="shared" si="21"/>
        <v>9591130</v>
      </c>
      <c r="AB43" s="19">
        <f t="shared" si="22"/>
        <v>10335594</v>
      </c>
      <c r="AC43" s="15">
        <f t="shared" si="12"/>
        <v>2182.36</v>
      </c>
      <c r="AD43" s="15">
        <f t="shared" si="13"/>
        <v>10335591.49</v>
      </c>
      <c r="AE43" s="25"/>
      <c r="AF43" s="157">
        <f t="shared" si="0"/>
        <v>-2.5099999999999998</v>
      </c>
    </row>
    <row r="44" spans="1:32" s="4" customFormat="1" x14ac:dyDescent="0.25">
      <c r="A44" s="65" t="s">
        <v>1385</v>
      </c>
      <c r="B44" s="55" t="s">
        <v>324</v>
      </c>
      <c r="C44" s="29" t="s">
        <v>82</v>
      </c>
      <c r="D44" s="208">
        <v>681.67</v>
      </c>
      <c r="E44" s="14">
        <f t="shared" si="14"/>
        <v>436.8</v>
      </c>
      <c r="F44" s="14"/>
      <c r="G44" s="14"/>
      <c r="H44" s="135">
        <v>297753</v>
      </c>
      <c r="I44" s="15"/>
      <c r="J44" s="15"/>
      <c r="K44" s="15"/>
      <c r="L44" s="15"/>
      <c r="M44" s="22"/>
      <c r="N44" s="22"/>
      <c r="O44" s="22">
        <f t="shared" si="15"/>
        <v>2715507</v>
      </c>
      <c r="P44" s="19">
        <f t="shared" si="16"/>
        <v>111336</v>
      </c>
      <c r="Q44" s="19">
        <f t="shared" si="17"/>
        <v>2826843</v>
      </c>
      <c r="R44" s="6">
        <f t="shared" si="18"/>
        <v>9894</v>
      </c>
      <c r="S44" s="6"/>
      <c r="T44" s="6"/>
      <c r="U44" s="121">
        <f t="shared" si="19"/>
        <v>13788</v>
      </c>
      <c r="V44" s="131">
        <f t="shared" si="20"/>
        <v>1578</v>
      </c>
      <c r="W44" s="6"/>
      <c r="X44" s="6"/>
      <c r="Y44" s="6"/>
      <c r="Z44" s="6"/>
      <c r="AA44" s="19">
        <f t="shared" si="21"/>
        <v>2852103</v>
      </c>
      <c r="AB44" s="19">
        <f t="shared" si="22"/>
        <v>3073483</v>
      </c>
      <c r="AC44" s="15">
        <f t="shared" si="12"/>
        <v>4508.75</v>
      </c>
      <c r="AD44" s="15">
        <f t="shared" si="13"/>
        <v>3073479.61</v>
      </c>
      <c r="AE44" s="25"/>
      <c r="AF44" s="157">
        <f t="shared" si="0"/>
        <v>-3.39</v>
      </c>
    </row>
    <row r="45" spans="1:32" s="4" customFormat="1" ht="25.5" x14ac:dyDescent="0.25">
      <c r="A45" s="65" t="s">
        <v>1386</v>
      </c>
      <c r="B45" s="55" t="s">
        <v>325</v>
      </c>
      <c r="C45" s="29" t="s">
        <v>82</v>
      </c>
      <c r="D45" s="208">
        <v>239.17</v>
      </c>
      <c r="E45" s="14">
        <f t="shared" si="14"/>
        <v>1617</v>
      </c>
      <c r="F45" s="14"/>
      <c r="G45" s="14"/>
      <c r="H45" s="135">
        <v>386737</v>
      </c>
      <c r="I45" s="15"/>
      <c r="J45" s="15"/>
      <c r="K45" s="15"/>
      <c r="L45" s="15"/>
      <c r="M45" s="22"/>
      <c r="N45" s="22"/>
      <c r="O45" s="22">
        <f t="shared" si="15"/>
        <v>3527041</v>
      </c>
      <c r="P45" s="19">
        <f t="shared" si="16"/>
        <v>144609</v>
      </c>
      <c r="Q45" s="19">
        <f t="shared" si="17"/>
        <v>3671650</v>
      </c>
      <c r="R45" s="6">
        <f t="shared" si="18"/>
        <v>12851</v>
      </c>
      <c r="S45" s="6"/>
      <c r="T45" s="6"/>
      <c r="U45" s="121">
        <f t="shared" si="19"/>
        <v>17908</v>
      </c>
      <c r="V45" s="131">
        <f t="shared" si="20"/>
        <v>2049</v>
      </c>
      <c r="W45" s="6"/>
      <c r="X45" s="6"/>
      <c r="Y45" s="6"/>
      <c r="Z45" s="6"/>
      <c r="AA45" s="19">
        <f t="shared" si="21"/>
        <v>3704458</v>
      </c>
      <c r="AB45" s="19">
        <f t="shared" si="22"/>
        <v>3991998</v>
      </c>
      <c r="AC45" s="15">
        <f t="shared" si="12"/>
        <v>16691.05</v>
      </c>
      <c r="AD45" s="15">
        <f t="shared" si="13"/>
        <v>3991998.43</v>
      </c>
      <c r="AE45" s="25"/>
      <c r="AF45" s="157">
        <f t="shared" si="0"/>
        <v>0.43</v>
      </c>
    </row>
    <row r="46" spans="1:32" s="4" customFormat="1" x14ac:dyDescent="0.25">
      <c r="A46" s="65" t="s">
        <v>1387</v>
      </c>
      <c r="B46" s="55" t="s">
        <v>326</v>
      </c>
      <c r="C46" s="29" t="s">
        <v>82</v>
      </c>
      <c r="D46" s="208">
        <v>2717.6</v>
      </c>
      <c r="E46" s="14">
        <f t="shared" si="14"/>
        <v>454.76</v>
      </c>
      <c r="F46" s="14"/>
      <c r="G46" s="14"/>
      <c r="H46" s="135">
        <v>1235845</v>
      </c>
      <c r="I46" s="15"/>
      <c r="J46" s="15"/>
      <c r="K46" s="15"/>
      <c r="L46" s="15"/>
      <c r="M46" s="22"/>
      <c r="N46" s="22"/>
      <c r="O46" s="22">
        <f t="shared" si="15"/>
        <v>11270906</v>
      </c>
      <c r="P46" s="19">
        <f t="shared" si="16"/>
        <v>462107</v>
      </c>
      <c r="Q46" s="19">
        <f t="shared" si="17"/>
        <v>11733013</v>
      </c>
      <c r="R46" s="6">
        <f t="shared" si="18"/>
        <v>41066</v>
      </c>
      <c r="S46" s="6"/>
      <c r="T46" s="6"/>
      <c r="U46" s="121">
        <f t="shared" si="19"/>
        <v>57227</v>
      </c>
      <c r="V46" s="131">
        <f t="shared" si="20"/>
        <v>6549</v>
      </c>
      <c r="W46" s="6"/>
      <c r="X46" s="6"/>
      <c r="Y46" s="6"/>
      <c r="Z46" s="6"/>
      <c r="AA46" s="19">
        <f t="shared" si="21"/>
        <v>11837855</v>
      </c>
      <c r="AB46" s="19">
        <f t="shared" si="22"/>
        <v>12756709</v>
      </c>
      <c r="AC46" s="15">
        <f t="shared" si="12"/>
        <v>4694.1099999999997</v>
      </c>
      <c r="AD46" s="15">
        <f t="shared" si="13"/>
        <v>12756713.34</v>
      </c>
      <c r="AE46" s="25"/>
      <c r="AF46" s="157">
        <f t="shared" si="0"/>
        <v>4.34</v>
      </c>
    </row>
    <row r="47" spans="1:32" s="4" customFormat="1" x14ac:dyDescent="0.25">
      <c r="A47" s="65" t="s">
        <v>1388</v>
      </c>
      <c r="B47" s="55" t="s">
        <v>327</v>
      </c>
      <c r="C47" s="29" t="s">
        <v>82</v>
      </c>
      <c r="D47" s="208">
        <v>1899.88</v>
      </c>
      <c r="E47" s="14">
        <f t="shared" si="14"/>
        <v>355.98</v>
      </c>
      <c r="F47" s="14"/>
      <c r="G47" s="14"/>
      <c r="H47" s="135">
        <v>676317</v>
      </c>
      <c r="I47" s="15"/>
      <c r="J47" s="15"/>
      <c r="K47" s="15"/>
      <c r="L47" s="15"/>
      <c r="M47" s="22"/>
      <c r="N47" s="22"/>
      <c r="O47" s="22">
        <f t="shared" si="15"/>
        <v>6168011</v>
      </c>
      <c r="P47" s="19">
        <f t="shared" si="16"/>
        <v>252888</v>
      </c>
      <c r="Q47" s="19">
        <f t="shared" si="17"/>
        <v>6420899</v>
      </c>
      <c r="R47" s="6">
        <f t="shared" si="18"/>
        <v>22473</v>
      </c>
      <c r="S47" s="6"/>
      <c r="T47" s="6"/>
      <c r="U47" s="121">
        <f t="shared" si="19"/>
        <v>31318</v>
      </c>
      <c r="V47" s="131">
        <f t="shared" si="20"/>
        <v>3584</v>
      </c>
      <c r="W47" s="6"/>
      <c r="X47" s="6"/>
      <c r="Y47" s="6"/>
      <c r="Z47" s="6"/>
      <c r="AA47" s="19">
        <f t="shared" si="21"/>
        <v>6478274</v>
      </c>
      <c r="AB47" s="19">
        <f t="shared" si="22"/>
        <v>6981118</v>
      </c>
      <c r="AC47" s="15">
        <f t="shared" si="12"/>
        <v>3674.5</v>
      </c>
      <c r="AD47" s="15">
        <f t="shared" si="13"/>
        <v>6981109.0599999996</v>
      </c>
      <c r="AE47" s="25"/>
      <c r="AF47" s="157">
        <f t="shared" si="0"/>
        <v>-8.94</v>
      </c>
    </row>
    <row r="48" spans="1:32" s="4" customFormat="1" ht="25.5" x14ac:dyDescent="0.25">
      <c r="A48" s="65" t="s">
        <v>1389</v>
      </c>
      <c r="B48" s="55" t="s">
        <v>328</v>
      </c>
      <c r="C48" s="29" t="s">
        <v>82</v>
      </c>
      <c r="D48" s="208">
        <v>1885.99</v>
      </c>
      <c r="E48" s="14">
        <f t="shared" si="14"/>
        <v>285.05</v>
      </c>
      <c r="F48" s="14"/>
      <c r="G48" s="14"/>
      <c r="H48" s="135">
        <v>537596</v>
      </c>
      <c r="I48" s="15"/>
      <c r="J48" s="15"/>
      <c r="K48" s="15"/>
      <c r="L48" s="15"/>
      <c r="M48" s="22"/>
      <c r="N48" s="22"/>
      <c r="O48" s="22">
        <f t="shared" si="15"/>
        <v>4902876</v>
      </c>
      <c r="P48" s="19">
        <f t="shared" si="16"/>
        <v>201018</v>
      </c>
      <c r="Q48" s="19">
        <f t="shared" si="17"/>
        <v>5103894</v>
      </c>
      <c r="R48" s="6">
        <f t="shared" si="18"/>
        <v>17864</v>
      </c>
      <c r="S48" s="6"/>
      <c r="T48" s="6"/>
      <c r="U48" s="121">
        <f t="shared" si="19"/>
        <v>24894</v>
      </c>
      <c r="V48" s="131">
        <f t="shared" si="20"/>
        <v>2849</v>
      </c>
      <c r="W48" s="6"/>
      <c r="X48" s="6"/>
      <c r="Y48" s="6"/>
      <c r="Z48" s="6"/>
      <c r="AA48" s="19">
        <f t="shared" si="21"/>
        <v>5149501</v>
      </c>
      <c r="AB48" s="19">
        <f t="shared" si="22"/>
        <v>5549205</v>
      </c>
      <c r="AC48" s="15">
        <f t="shared" si="12"/>
        <v>2942.33</v>
      </c>
      <c r="AD48" s="15">
        <f t="shared" si="13"/>
        <v>5549204.96</v>
      </c>
      <c r="AE48" s="25"/>
      <c r="AF48" s="157">
        <f t="shared" si="0"/>
        <v>-0.04</v>
      </c>
    </row>
    <row r="49" spans="1:32" s="4" customFormat="1" x14ac:dyDescent="0.25">
      <c r="A49" s="65" t="s">
        <v>1390</v>
      </c>
      <c r="B49" s="55" t="s">
        <v>329</v>
      </c>
      <c r="C49" s="29" t="s">
        <v>82</v>
      </c>
      <c r="D49" s="208">
        <v>1882.78</v>
      </c>
      <c r="E49" s="14">
        <f t="shared" si="14"/>
        <v>286.27</v>
      </c>
      <c r="F49" s="14"/>
      <c r="G49" s="14"/>
      <c r="H49" s="135">
        <v>538977</v>
      </c>
      <c r="I49" s="15"/>
      <c r="J49" s="15"/>
      <c r="K49" s="15"/>
      <c r="L49" s="15"/>
      <c r="M49" s="22"/>
      <c r="N49" s="22"/>
      <c r="O49" s="22">
        <f t="shared" si="15"/>
        <v>4915470</v>
      </c>
      <c r="P49" s="19">
        <f t="shared" si="16"/>
        <v>201534</v>
      </c>
      <c r="Q49" s="19">
        <f t="shared" si="17"/>
        <v>5117004</v>
      </c>
      <c r="R49" s="6">
        <f t="shared" si="18"/>
        <v>17910</v>
      </c>
      <c r="S49" s="6"/>
      <c r="T49" s="6"/>
      <c r="U49" s="121">
        <f t="shared" si="19"/>
        <v>24958</v>
      </c>
      <c r="V49" s="131">
        <f t="shared" si="20"/>
        <v>2856</v>
      </c>
      <c r="W49" s="6"/>
      <c r="X49" s="6"/>
      <c r="Y49" s="6"/>
      <c r="Z49" s="6"/>
      <c r="AA49" s="19">
        <f t="shared" si="21"/>
        <v>5162728</v>
      </c>
      <c r="AB49" s="19">
        <f t="shared" si="22"/>
        <v>5563459</v>
      </c>
      <c r="AC49" s="15">
        <f t="shared" si="12"/>
        <v>2954.92</v>
      </c>
      <c r="AD49" s="15">
        <f t="shared" si="13"/>
        <v>5563464.2800000003</v>
      </c>
      <c r="AE49" s="25"/>
      <c r="AF49" s="157">
        <f t="shared" si="0"/>
        <v>5.28</v>
      </c>
    </row>
    <row r="50" spans="1:32" s="4" customFormat="1" x14ac:dyDescent="0.25">
      <c r="A50" s="65" t="s">
        <v>1391</v>
      </c>
      <c r="B50" s="55" t="s">
        <v>330</v>
      </c>
      <c r="C50" s="29" t="s">
        <v>82</v>
      </c>
      <c r="D50" s="208">
        <v>1974.07</v>
      </c>
      <c r="E50" s="14">
        <f t="shared" si="14"/>
        <v>612.29</v>
      </c>
      <c r="F50" s="14"/>
      <c r="G50" s="14"/>
      <c r="H50" s="135">
        <v>1208708</v>
      </c>
      <c r="I50" s="15"/>
      <c r="J50" s="15"/>
      <c r="K50" s="15"/>
      <c r="L50" s="15"/>
      <c r="M50" s="22"/>
      <c r="N50" s="22"/>
      <c r="O50" s="22">
        <f t="shared" si="15"/>
        <v>11023417</v>
      </c>
      <c r="P50" s="19">
        <f t="shared" si="16"/>
        <v>451960</v>
      </c>
      <c r="Q50" s="19">
        <f t="shared" si="17"/>
        <v>11475377</v>
      </c>
      <c r="R50" s="6">
        <f t="shared" si="18"/>
        <v>40164</v>
      </c>
      <c r="S50" s="6"/>
      <c r="T50" s="6"/>
      <c r="U50" s="121">
        <f t="shared" si="19"/>
        <v>55970</v>
      </c>
      <c r="V50" s="131">
        <f t="shared" si="20"/>
        <v>6405</v>
      </c>
      <c r="W50" s="6"/>
      <c r="X50" s="6"/>
      <c r="Y50" s="6"/>
      <c r="Z50" s="6"/>
      <c r="AA50" s="19">
        <f t="shared" si="21"/>
        <v>11577916</v>
      </c>
      <c r="AB50" s="19">
        <f t="shared" si="22"/>
        <v>12476594</v>
      </c>
      <c r="AC50" s="15">
        <f t="shared" si="12"/>
        <v>6320.24</v>
      </c>
      <c r="AD50" s="15">
        <f t="shared" si="13"/>
        <v>12476596.18</v>
      </c>
      <c r="AE50" s="25"/>
      <c r="AF50" s="157">
        <f t="shared" si="0"/>
        <v>2.1800000000000002</v>
      </c>
    </row>
    <row r="51" spans="1:32" s="4" customFormat="1" x14ac:dyDescent="0.25">
      <c r="A51" s="65" t="s">
        <v>1392</v>
      </c>
      <c r="B51" s="55" t="s">
        <v>331</v>
      </c>
      <c r="C51" s="29" t="s">
        <v>82</v>
      </c>
      <c r="D51" s="208">
        <v>2381.92</v>
      </c>
      <c r="E51" s="14">
        <f t="shared" si="14"/>
        <v>469.19</v>
      </c>
      <c r="F51" s="14"/>
      <c r="G51" s="14"/>
      <c r="H51" s="135">
        <v>1117563</v>
      </c>
      <c r="I51" s="15"/>
      <c r="J51" s="15"/>
      <c r="K51" s="15"/>
      <c r="L51" s="15"/>
      <c r="M51" s="22"/>
      <c r="N51" s="22"/>
      <c r="O51" s="22">
        <f t="shared" si="15"/>
        <v>10192175</v>
      </c>
      <c r="P51" s="19">
        <f t="shared" si="16"/>
        <v>417879</v>
      </c>
      <c r="Q51" s="19">
        <f t="shared" si="17"/>
        <v>10610054</v>
      </c>
      <c r="R51" s="6">
        <f t="shared" si="18"/>
        <v>37135</v>
      </c>
      <c r="S51" s="6"/>
      <c r="T51" s="6"/>
      <c r="U51" s="121">
        <f t="shared" si="19"/>
        <v>51750</v>
      </c>
      <c r="V51" s="131">
        <f t="shared" si="20"/>
        <v>5922</v>
      </c>
      <c r="W51" s="6"/>
      <c r="X51" s="6"/>
      <c r="Y51" s="6"/>
      <c r="Z51" s="6"/>
      <c r="AA51" s="19">
        <f t="shared" si="21"/>
        <v>10704861</v>
      </c>
      <c r="AB51" s="19">
        <f t="shared" si="22"/>
        <v>11535772</v>
      </c>
      <c r="AC51" s="15">
        <f t="shared" si="12"/>
        <v>4843.0600000000004</v>
      </c>
      <c r="AD51" s="15">
        <f t="shared" si="13"/>
        <v>11535781.48</v>
      </c>
      <c r="AE51" s="25"/>
      <c r="AF51" s="157">
        <f t="shared" si="0"/>
        <v>9.48</v>
      </c>
    </row>
    <row r="52" spans="1:32" s="4" customFormat="1" ht="25.5" x14ac:dyDescent="0.25">
      <c r="A52" s="65" t="s">
        <v>1393</v>
      </c>
      <c r="B52" s="55" t="s">
        <v>332</v>
      </c>
      <c r="C52" s="29" t="s">
        <v>82</v>
      </c>
      <c r="D52" s="208">
        <v>3781.58</v>
      </c>
      <c r="E52" s="14">
        <f t="shared" si="14"/>
        <v>264.62</v>
      </c>
      <c r="F52" s="14"/>
      <c r="G52" s="14"/>
      <c r="H52" s="135">
        <v>1000668</v>
      </c>
      <c r="I52" s="15"/>
      <c r="J52" s="15"/>
      <c r="K52" s="15"/>
      <c r="L52" s="15"/>
      <c r="M52" s="22"/>
      <c r="N52" s="22"/>
      <c r="O52" s="22">
        <f t="shared" si="15"/>
        <v>9126092</v>
      </c>
      <c r="P52" s="19">
        <f t="shared" si="16"/>
        <v>374170</v>
      </c>
      <c r="Q52" s="19">
        <f t="shared" si="17"/>
        <v>9500262</v>
      </c>
      <c r="R52" s="6">
        <f t="shared" si="18"/>
        <v>33251</v>
      </c>
      <c r="S52" s="6"/>
      <c r="T52" s="6"/>
      <c r="U52" s="121">
        <f t="shared" si="19"/>
        <v>46337</v>
      </c>
      <c r="V52" s="131">
        <f t="shared" si="20"/>
        <v>5303</v>
      </c>
      <c r="W52" s="6"/>
      <c r="X52" s="6"/>
      <c r="Y52" s="6"/>
      <c r="Z52" s="6"/>
      <c r="AA52" s="19">
        <f t="shared" si="21"/>
        <v>9585153</v>
      </c>
      <c r="AB52" s="19">
        <f t="shared" si="22"/>
        <v>10329153</v>
      </c>
      <c r="AC52" s="15">
        <f t="shared" si="12"/>
        <v>2731.44</v>
      </c>
      <c r="AD52" s="15">
        <f t="shared" si="13"/>
        <v>10329158.880000001</v>
      </c>
      <c r="AE52" s="25"/>
      <c r="AF52" s="157">
        <f t="shared" si="0"/>
        <v>5.88</v>
      </c>
    </row>
    <row r="53" spans="1:32" s="4" customFormat="1" x14ac:dyDescent="0.25">
      <c r="A53" s="65" t="s">
        <v>1394</v>
      </c>
      <c r="B53" s="55" t="s">
        <v>333</v>
      </c>
      <c r="C53" s="29" t="s">
        <v>82</v>
      </c>
      <c r="D53" s="208">
        <v>2833.27</v>
      </c>
      <c r="E53" s="14">
        <f t="shared" si="14"/>
        <v>430.07</v>
      </c>
      <c r="F53" s="14"/>
      <c r="G53" s="14"/>
      <c r="H53" s="135">
        <v>1218499</v>
      </c>
      <c r="I53" s="15"/>
      <c r="J53" s="15"/>
      <c r="K53" s="15"/>
      <c r="L53" s="15"/>
      <c r="M53" s="22"/>
      <c r="N53" s="22"/>
      <c r="O53" s="22">
        <f t="shared" si="15"/>
        <v>11112711</v>
      </c>
      <c r="P53" s="19">
        <f t="shared" si="16"/>
        <v>455621</v>
      </c>
      <c r="Q53" s="19">
        <f t="shared" si="17"/>
        <v>11568332</v>
      </c>
      <c r="R53" s="6">
        <f t="shared" si="18"/>
        <v>40489</v>
      </c>
      <c r="S53" s="6"/>
      <c r="T53" s="6"/>
      <c r="U53" s="121">
        <f t="shared" si="19"/>
        <v>56424</v>
      </c>
      <c r="V53" s="131">
        <f t="shared" si="20"/>
        <v>6457</v>
      </c>
      <c r="W53" s="6"/>
      <c r="X53" s="6"/>
      <c r="Y53" s="6"/>
      <c r="Z53" s="6"/>
      <c r="AA53" s="19">
        <f t="shared" si="21"/>
        <v>11671702</v>
      </c>
      <c r="AB53" s="19">
        <f t="shared" si="22"/>
        <v>12577660</v>
      </c>
      <c r="AC53" s="15">
        <f t="shared" si="12"/>
        <v>4439.2700000000004</v>
      </c>
      <c r="AD53" s="15">
        <f t="shared" si="13"/>
        <v>12577650.51</v>
      </c>
      <c r="AE53" s="25"/>
      <c r="AF53" s="157">
        <f t="shared" si="0"/>
        <v>-9.49</v>
      </c>
    </row>
    <row r="54" spans="1:32" s="4" customFormat="1" x14ac:dyDescent="0.25">
      <c r="A54" s="65" t="s">
        <v>1395</v>
      </c>
      <c r="B54" s="55" t="s">
        <v>334</v>
      </c>
      <c r="C54" s="29" t="s">
        <v>82</v>
      </c>
      <c r="D54" s="208">
        <v>2682.87</v>
      </c>
      <c r="E54" s="14">
        <f t="shared" si="14"/>
        <v>265.45</v>
      </c>
      <c r="F54" s="14"/>
      <c r="G54" s="14"/>
      <c r="H54" s="135">
        <v>712168</v>
      </c>
      <c r="I54" s="15"/>
      <c r="J54" s="15"/>
      <c r="K54" s="15"/>
      <c r="L54" s="15"/>
      <c r="M54" s="22"/>
      <c r="N54" s="22"/>
      <c r="O54" s="22">
        <f t="shared" si="15"/>
        <v>6494972</v>
      </c>
      <c r="P54" s="19">
        <f t="shared" si="16"/>
        <v>266294</v>
      </c>
      <c r="Q54" s="19">
        <f t="shared" si="17"/>
        <v>6761266</v>
      </c>
      <c r="R54" s="6">
        <f t="shared" si="18"/>
        <v>23664</v>
      </c>
      <c r="S54" s="6"/>
      <c r="T54" s="6"/>
      <c r="U54" s="121">
        <f t="shared" si="19"/>
        <v>32978</v>
      </c>
      <c r="V54" s="131">
        <f t="shared" si="20"/>
        <v>3774</v>
      </c>
      <c r="W54" s="6"/>
      <c r="X54" s="6"/>
      <c r="Y54" s="6"/>
      <c r="Z54" s="6"/>
      <c r="AA54" s="19">
        <f t="shared" si="21"/>
        <v>6821682</v>
      </c>
      <c r="AB54" s="19">
        <f t="shared" si="22"/>
        <v>7351181</v>
      </c>
      <c r="AC54" s="15">
        <f t="shared" si="12"/>
        <v>2740.04</v>
      </c>
      <c r="AD54" s="15">
        <f t="shared" si="13"/>
        <v>7351171.1100000003</v>
      </c>
      <c r="AE54" s="25"/>
      <c r="AF54" s="157">
        <f t="shared" si="0"/>
        <v>-9.89</v>
      </c>
    </row>
    <row r="55" spans="1:32" s="4" customFormat="1" x14ac:dyDescent="0.25">
      <c r="A55" s="65" t="s">
        <v>1396</v>
      </c>
      <c r="B55" s="55" t="s">
        <v>335</v>
      </c>
      <c r="C55" s="29" t="s">
        <v>82</v>
      </c>
      <c r="D55" s="208">
        <v>321.3</v>
      </c>
      <c r="E55" s="14">
        <f t="shared" si="14"/>
        <v>1101.45</v>
      </c>
      <c r="F55" s="14"/>
      <c r="G55" s="14"/>
      <c r="H55" s="135">
        <v>353897</v>
      </c>
      <c r="I55" s="15"/>
      <c r="J55" s="15"/>
      <c r="K55" s="15"/>
      <c r="L55" s="15"/>
      <c r="M55" s="22"/>
      <c r="N55" s="22"/>
      <c r="O55" s="22">
        <f t="shared" si="15"/>
        <v>3227541</v>
      </c>
      <c r="P55" s="19">
        <f t="shared" si="16"/>
        <v>132329</v>
      </c>
      <c r="Q55" s="19">
        <f t="shared" si="17"/>
        <v>3359870</v>
      </c>
      <c r="R55" s="6">
        <f t="shared" si="18"/>
        <v>11760</v>
      </c>
      <c r="S55" s="6"/>
      <c r="T55" s="6"/>
      <c r="U55" s="121">
        <f t="shared" si="19"/>
        <v>16388</v>
      </c>
      <c r="V55" s="131">
        <f t="shared" si="20"/>
        <v>1875</v>
      </c>
      <c r="W55" s="6"/>
      <c r="X55" s="6"/>
      <c r="Y55" s="6"/>
      <c r="Z55" s="6"/>
      <c r="AA55" s="19">
        <f t="shared" si="21"/>
        <v>3389893</v>
      </c>
      <c r="AB55" s="19">
        <f t="shared" si="22"/>
        <v>3653016</v>
      </c>
      <c r="AC55" s="15">
        <f t="shared" si="12"/>
        <v>11369.49</v>
      </c>
      <c r="AD55" s="15">
        <f t="shared" si="13"/>
        <v>3653017.14</v>
      </c>
      <c r="AE55" s="25"/>
      <c r="AF55" s="157">
        <f t="shared" si="0"/>
        <v>1.1399999999999999</v>
      </c>
    </row>
    <row r="56" spans="1:32" s="91" customFormat="1" x14ac:dyDescent="0.25">
      <c r="A56" s="87" t="s">
        <v>1397</v>
      </c>
      <c r="B56" s="88" t="s">
        <v>1300</v>
      </c>
      <c r="C56" s="92"/>
      <c r="D56" s="93"/>
      <c r="E56" s="94"/>
      <c r="F56" s="94"/>
      <c r="G56" s="94"/>
      <c r="H56" s="99">
        <v>24864840</v>
      </c>
      <c r="I56" s="20"/>
      <c r="J56" s="20">
        <f>24864.84*1000</f>
        <v>24864840</v>
      </c>
      <c r="K56" s="20" t="s">
        <v>81</v>
      </c>
      <c r="L56" s="20">
        <f>H56-J56</f>
        <v>0</v>
      </c>
      <c r="M56" s="95">
        <v>226767320</v>
      </c>
      <c r="N56" s="50">
        <f>M56-SUM(O57:O69)</f>
        <v>-11</v>
      </c>
      <c r="O56" s="95"/>
      <c r="P56" s="50"/>
      <c r="Q56" s="50"/>
      <c r="R56" s="50"/>
      <c r="S56" s="95"/>
      <c r="T56" s="95"/>
      <c r="U56" s="126"/>
      <c r="V56" s="131"/>
      <c r="W56" s="30"/>
      <c r="X56" s="95"/>
      <c r="Y56" s="95"/>
      <c r="Z56" s="95"/>
      <c r="AA56" s="50"/>
      <c r="AB56" s="50"/>
      <c r="AC56" s="20"/>
      <c r="AD56" s="20"/>
      <c r="AE56" s="97"/>
      <c r="AF56" s="157">
        <f t="shared" si="0"/>
        <v>0</v>
      </c>
    </row>
    <row r="57" spans="1:32" s="4" customFormat="1" x14ac:dyDescent="0.25">
      <c r="A57" s="10" t="s">
        <v>1398</v>
      </c>
      <c r="B57" s="11" t="s">
        <v>86</v>
      </c>
      <c r="C57" s="21"/>
      <c r="D57" s="29"/>
      <c r="E57" s="14"/>
      <c r="F57" s="14"/>
      <c r="G57" s="14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52"/>
      <c r="V57" s="151"/>
      <c r="W57" s="22"/>
      <c r="X57" s="22"/>
      <c r="Y57" s="22"/>
      <c r="Z57" s="22"/>
      <c r="AA57" s="22"/>
      <c r="AB57" s="22"/>
      <c r="AC57" s="22"/>
      <c r="AD57" s="22"/>
      <c r="AE57" s="25"/>
      <c r="AF57" s="157">
        <f t="shared" si="0"/>
        <v>0</v>
      </c>
    </row>
    <row r="58" spans="1:32" s="4" customFormat="1" ht="25.5" x14ac:dyDescent="0.25">
      <c r="A58" s="64" t="s">
        <v>1399</v>
      </c>
      <c r="B58" s="55" t="s">
        <v>355</v>
      </c>
      <c r="C58" s="46" t="s">
        <v>82</v>
      </c>
      <c r="D58" s="47">
        <v>540</v>
      </c>
      <c r="E58" s="14">
        <f t="shared" ref="E58:E69" si="23">H58/D58</f>
        <v>614.53</v>
      </c>
      <c r="F58" s="14"/>
      <c r="G58" s="14"/>
      <c r="H58" s="44">
        <v>331844</v>
      </c>
      <c r="I58" s="15"/>
      <c r="J58" s="15"/>
      <c r="K58" s="15"/>
      <c r="L58" s="15"/>
      <c r="M58" s="44"/>
      <c r="N58" s="44"/>
      <c r="O58" s="22">
        <f t="shared" ref="O58:O69" si="24">H58*9.12</f>
        <v>3026417</v>
      </c>
      <c r="P58" s="22">
        <f t="shared" ref="P58:P69" si="25">O58*4.1%</f>
        <v>124083</v>
      </c>
      <c r="Q58" s="22">
        <f t="shared" ref="Q58:Q69" si="26">SUM(O58:P58)</f>
        <v>3150500</v>
      </c>
      <c r="R58" s="22">
        <f t="shared" ref="R58:R69" si="27">Q58*0.35%</f>
        <v>11027</v>
      </c>
      <c r="S58" s="22"/>
      <c r="T58" s="22"/>
      <c r="U58" s="152">
        <f t="shared" ref="U58:U69" si="28">Q58*$U$4</f>
        <v>15366</v>
      </c>
      <c r="V58" s="151">
        <f t="shared" ref="V58:V69" si="29">Q58*$V$5</f>
        <v>1758</v>
      </c>
      <c r="W58" s="22"/>
      <c r="X58" s="22"/>
      <c r="Y58" s="22"/>
      <c r="Z58" s="22"/>
      <c r="AA58" s="22">
        <f t="shared" ref="AA58:AA69" si="30">SUM(Q58:Z58)</f>
        <v>3178651</v>
      </c>
      <c r="AB58" s="22">
        <f t="shared" ref="AB58:AB69" si="31">$AA58*AB$7</f>
        <v>3425378</v>
      </c>
      <c r="AC58" s="22">
        <f t="shared" ref="AC58:AC63" si="32">AB58/D58</f>
        <v>6343</v>
      </c>
      <c r="AD58" s="22">
        <f t="shared" ref="AD58:AD63" si="33">AC58*D58</f>
        <v>3425220</v>
      </c>
      <c r="AE58" s="25"/>
      <c r="AF58" s="157">
        <f t="shared" si="0"/>
        <v>-158</v>
      </c>
    </row>
    <row r="59" spans="1:32" s="4" customFormat="1" ht="25.5" x14ac:dyDescent="0.25">
      <c r="A59" s="64" t="s">
        <v>1400</v>
      </c>
      <c r="B59" s="55" t="s">
        <v>354</v>
      </c>
      <c r="C59" s="46" t="s">
        <v>82</v>
      </c>
      <c r="D59" s="47">
        <v>1465</v>
      </c>
      <c r="E59" s="14">
        <f t="shared" si="23"/>
        <v>1300.95</v>
      </c>
      <c r="F59" s="14"/>
      <c r="G59" s="14"/>
      <c r="H59" s="44">
        <v>1905895</v>
      </c>
      <c r="I59" s="15"/>
      <c r="J59" s="15"/>
      <c r="K59" s="15"/>
      <c r="L59" s="15"/>
      <c r="M59" s="44"/>
      <c r="N59" s="44"/>
      <c r="O59" s="22">
        <f t="shared" si="24"/>
        <v>17381762</v>
      </c>
      <c r="P59" s="22">
        <f t="shared" si="25"/>
        <v>712652</v>
      </c>
      <c r="Q59" s="22">
        <f t="shared" si="26"/>
        <v>18094414</v>
      </c>
      <c r="R59" s="22">
        <f t="shared" si="27"/>
        <v>63330</v>
      </c>
      <c r="S59" s="22"/>
      <c r="T59" s="22"/>
      <c r="U59" s="152">
        <f t="shared" si="28"/>
        <v>88254</v>
      </c>
      <c r="V59" s="151">
        <f t="shared" si="29"/>
        <v>10100</v>
      </c>
      <c r="W59" s="22"/>
      <c r="X59" s="22"/>
      <c r="Y59" s="22"/>
      <c r="Z59" s="22"/>
      <c r="AA59" s="22">
        <f t="shared" si="30"/>
        <v>18256098</v>
      </c>
      <c r="AB59" s="22">
        <f t="shared" si="31"/>
        <v>19673136</v>
      </c>
      <c r="AC59" s="22">
        <f t="shared" si="32"/>
        <v>13429</v>
      </c>
      <c r="AD59" s="22">
        <f t="shared" si="33"/>
        <v>19673485</v>
      </c>
      <c r="AE59" s="25"/>
      <c r="AF59" s="157">
        <f t="shared" si="0"/>
        <v>349</v>
      </c>
    </row>
    <row r="60" spans="1:32" s="4" customFormat="1" ht="25.5" x14ac:dyDescent="0.25">
      <c r="A60" s="64" t="s">
        <v>1401</v>
      </c>
      <c r="B60" s="55" t="s">
        <v>359</v>
      </c>
      <c r="C60" s="46" t="s">
        <v>82</v>
      </c>
      <c r="D60" s="47">
        <v>1763</v>
      </c>
      <c r="E60" s="14">
        <f t="shared" si="23"/>
        <v>523.22</v>
      </c>
      <c r="F60" s="14"/>
      <c r="G60" s="14"/>
      <c r="H60" s="44">
        <v>922445</v>
      </c>
      <c r="I60" s="15"/>
      <c r="J60" s="15"/>
      <c r="K60" s="15"/>
      <c r="L60" s="15"/>
      <c r="M60" s="44"/>
      <c r="N60" s="44"/>
      <c r="O60" s="22">
        <f t="shared" si="24"/>
        <v>8412698</v>
      </c>
      <c r="P60" s="22">
        <f t="shared" si="25"/>
        <v>344921</v>
      </c>
      <c r="Q60" s="22">
        <f t="shared" si="26"/>
        <v>8757619</v>
      </c>
      <c r="R60" s="22">
        <f t="shared" si="27"/>
        <v>30652</v>
      </c>
      <c r="S60" s="22"/>
      <c r="T60" s="22"/>
      <c r="U60" s="152">
        <f t="shared" si="28"/>
        <v>42715</v>
      </c>
      <c r="V60" s="151">
        <f t="shared" si="29"/>
        <v>4888</v>
      </c>
      <c r="W60" s="22"/>
      <c r="X60" s="22"/>
      <c r="Y60" s="22"/>
      <c r="Z60" s="22"/>
      <c r="AA60" s="22">
        <f t="shared" si="30"/>
        <v>8835874</v>
      </c>
      <c r="AB60" s="22">
        <f t="shared" si="31"/>
        <v>9521715</v>
      </c>
      <c r="AC60" s="22">
        <f t="shared" si="32"/>
        <v>5401</v>
      </c>
      <c r="AD60" s="22">
        <f t="shared" si="33"/>
        <v>9521963</v>
      </c>
      <c r="AE60" s="25"/>
      <c r="AF60" s="157">
        <f t="shared" si="0"/>
        <v>248</v>
      </c>
    </row>
    <row r="61" spans="1:32" s="4" customFormat="1" ht="25.5" x14ac:dyDescent="0.25">
      <c r="A61" s="64" t="s">
        <v>1402</v>
      </c>
      <c r="B61" s="55" t="s">
        <v>356</v>
      </c>
      <c r="C61" s="46" t="s">
        <v>82</v>
      </c>
      <c r="D61" s="47">
        <v>2548</v>
      </c>
      <c r="E61" s="14">
        <f t="shared" si="23"/>
        <v>509.19</v>
      </c>
      <c r="F61" s="14"/>
      <c r="G61" s="14"/>
      <c r="H61" s="44">
        <v>1297422.57</v>
      </c>
      <c r="I61" s="15"/>
      <c r="J61" s="15"/>
      <c r="K61" s="15"/>
      <c r="L61" s="15"/>
      <c r="M61" s="44"/>
      <c r="N61" s="44"/>
      <c r="O61" s="22">
        <f t="shared" si="24"/>
        <v>11832494</v>
      </c>
      <c r="P61" s="22">
        <f t="shared" si="25"/>
        <v>485132</v>
      </c>
      <c r="Q61" s="22">
        <f t="shared" si="26"/>
        <v>12317626</v>
      </c>
      <c r="R61" s="22">
        <f t="shared" si="27"/>
        <v>43112</v>
      </c>
      <c r="S61" s="22"/>
      <c r="T61" s="22"/>
      <c r="U61" s="152">
        <f t="shared" si="28"/>
        <v>60078</v>
      </c>
      <c r="V61" s="151">
        <f t="shared" si="29"/>
        <v>6875</v>
      </c>
      <c r="W61" s="22"/>
      <c r="X61" s="22"/>
      <c r="Y61" s="22"/>
      <c r="Z61" s="22"/>
      <c r="AA61" s="22">
        <f t="shared" si="30"/>
        <v>12427691</v>
      </c>
      <c r="AB61" s="22">
        <f t="shared" si="31"/>
        <v>13392328</v>
      </c>
      <c r="AC61" s="22">
        <f t="shared" si="32"/>
        <v>5256</v>
      </c>
      <c r="AD61" s="22">
        <f t="shared" si="33"/>
        <v>13392288</v>
      </c>
      <c r="AE61" s="25"/>
      <c r="AF61" s="157">
        <f t="shared" si="0"/>
        <v>-40</v>
      </c>
    </row>
    <row r="62" spans="1:32" s="4" customFormat="1" ht="25.5" x14ac:dyDescent="0.25">
      <c r="A62" s="64" t="s">
        <v>1403</v>
      </c>
      <c r="B62" s="55" t="s">
        <v>357</v>
      </c>
      <c r="C62" s="46" t="s">
        <v>82</v>
      </c>
      <c r="D62" s="47">
        <v>335</v>
      </c>
      <c r="E62" s="14">
        <f t="shared" si="23"/>
        <v>1681.38</v>
      </c>
      <c r="F62" s="14"/>
      <c r="G62" s="14"/>
      <c r="H62" s="44">
        <v>563262.01</v>
      </c>
      <c r="I62" s="15"/>
      <c r="J62" s="15"/>
      <c r="K62" s="15"/>
      <c r="L62" s="15"/>
      <c r="M62" s="44"/>
      <c r="N62" s="44"/>
      <c r="O62" s="22">
        <f t="shared" si="24"/>
        <v>5136950</v>
      </c>
      <c r="P62" s="22">
        <f t="shared" si="25"/>
        <v>210615</v>
      </c>
      <c r="Q62" s="22">
        <f t="shared" si="26"/>
        <v>5347565</v>
      </c>
      <c r="R62" s="22">
        <f t="shared" si="27"/>
        <v>18716</v>
      </c>
      <c r="S62" s="22"/>
      <c r="T62" s="22"/>
      <c r="U62" s="152">
        <f t="shared" si="28"/>
        <v>26082</v>
      </c>
      <c r="V62" s="151">
        <f t="shared" si="29"/>
        <v>2985</v>
      </c>
      <c r="W62" s="22"/>
      <c r="X62" s="22"/>
      <c r="Y62" s="22"/>
      <c r="Z62" s="22"/>
      <c r="AA62" s="22">
        <f t="shared" si="30"/>
        <v>5395348</v>
      </c>
      <c r="AB62" s="22">
        <f t="shared" si="31"/>
        <v>5814135</v>
      </c>
      <c r="AC62" s="22">
        <f t="shared" si="32"/>
        <v>17356</v>
      </c>
      <c r="AD62" s="22">
        <f t="shared" si="33"/>
        <v>5814260</v>
      </c>
      <c r="AE62" s="25"/>
      <c r="AF62" s="157">
        <f t="shared" si="0"/>
        <v>125</v>
      </c>
    </row>
    <row r="63" spans="1:32" s="4" customFormat="1" ht="25.5" x14ac:dyDescent="0.25">
      <c r="A63" s="64" t="s">
        <v>1404</v>
      </c>
      <c r="B63" s="55" t="s">
        <v>358</v>
      </c>
      <c r="C63" s="46" t="s">
        <v>82</v>
      </c>
      <c r="D63" s="47">
        <v>394</v>
      </c>
      <c r="E63" s="14">
        <f t="shared" si="23"/>
        <v>1388.75</v>
      </c>
      <c r="F63" s="14"/>
      <c r="G63" s="14"/>
      <c r="H63" s="44">
        <v>547168.39</v>
      </c>
      <c r="I63" s="15"/>
      <c r="J63" s="15"/>
      <c r="K63" s="15"/>
      <c r="L63" s="15"/>
      <c r="M63" s="44"/>
      <c r="N63" s="44"/>
      <c r="O63" s="22">
        <f t="shared" si="24"/>
        <v>4990176</v>
      </c>
      <c r="P63" s="22">
        <f t="shared" si="25"/>
        <v>204597</v>
      </c>
      <c r="Q63" s="22">
        <f t="shared" si="26"/>
        <v>5194773</v>
      </c>
      <c r="R63" s="22">
        <f t="shared" si="27"/>
        <v>18182</v>
      </c>
      <c r="S63" s="22"/>
      <c r="T63" s="22"/>
      <c r="U63" s="152">
        <f t="shared" si="28"/>
        <v>25337</v>
      </c>
      <c r="V63" s="151">
        <f t="shared" si="29"/>
        <v>2900</v>
      </c>
      <c r="W63" s="22"/>
      <c r="X63" s="22"/>
      <c r="Y63" s="22"/>
      <c r="Z63" s="22"/>
      <c r="AA63" s="22">
        <f t="shared" si="30"/>
        <v>5241192</v>
      </c>
      <c r="AB63" s="22">
        <f t="shared" si="31"/>
        <v>5648013</v>
      </c>
      <c r="AC63" s="22">
        <f t="shared" si="32"/>
        <v>14335</v>
      </c>
      <c r="AD63" s="22">
        <f t="shared" si="33"/>
        <v>5647990</v>
      </c>
      <c r="AE63" s="25"/>
      <c r="AF63" s="157">
        <f t="shared" si="0"/>
        <v>-23</v>
      </c>
    </row>
    <row r="64" spans="1:32" s="4" customFormat="1" x14ac:dyDescent="0.25">
      <c r="A64" s="10" t="s">
        <v>1405</v>
      </c>
      <c r="B64" s="11" t="s">
        <v>87</v>
      </c>
      <c r="C64" s="21"/>
      <c r="D64" s="29"/>
      <c r="E64" s="14"/>
      <c r="F64" s="14"/>
      <c r="G64" s="14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152"/>
      <c r="V64" s="151"/>
      <c r="W64" s="22"/>
      <c r="X64" s="22"/>
      <c r="Y64" s="22"/>
      <c r="Z64" s="22"/>
      <c r="AA64" s="22"/>
      <c r="AB64" s="22"/>
      <c r="AC64" s="22"/>
      <c r="AD64" s="22"/>
      <c r="AE64" s="25"/>
      <c r="AF64" s="157">
        <f t="shared" si="0"/>
        <v>0</v>
      </c>
    </row>
    <row r="65" spans="1:32" s="4" customFormat="1" ht="38.25" x14ac:dyDescent="0.25">
      <c r="A65" s="64" t="s">
        <v>1406</v>
      </c>
      <c r="B65" s="55" t="s">
        <v>364</v>
      </c>
      <c r="C65" s="46" t="s">
        <v>82</v>
      </c>
      <c r="D65" s="47">
        <v>562</v>
      </c>
      <c r="E65" s="14">
        <f t="shared" si="23"/>
        <v>7322.72</v>
      </c>
      <c r="F65" s="14"/>
      <c r="G65" s="14"/>
      <c r="H65" s="44">
        <v>4115369</v>
      </c>
      <c r="I65" s="15"/>
      <c r="J65" s="15"/>
      <c r="K65" s="15"/>
      <c r="L65" s="15"/>
      <c r="M65" s="44"/>
      <c r="N65" s="44"/>
      <c r="O65" s="22">
        <f t="shared" si="24"/>
        <v>37532165</v>
      </c>
      <c r="P65" s="22">
        <f t="shared" si="25"/>
        <v>1538819</v>
      </c>
      <c r="Q65" s="22">
        <f t="shared" si="26"/>
        <v>39070984</v>
      </c>
      <c r="R65" s="22">
        <f t="shared" si="27"/>
        <v>136748</v>
      </c>
      <c r="S65" s="22"/>
      <c r="T65" s="22"/>
      <c r="U65" s="152">
        <f t="shared" si="28"/>
        <v>190566</v>
      </c>
      <c r="V65" s="151">
        <f t="shared" si="29"/>
        <v>21808</v>
      </c>
      <c r="W65" s="22"/>
      <c r="X65" s="22"/>
      <c r="Y65" s="22"/>
      <c r="Z65" s="22"/>
      <c r="AA65" s="22">
        <f t="shared" si="30"/>
        <v>39420106</v>
      </c>
      <c r="AB65" s="22">
        <f t="shared" si="31"/>
        <v>42479895</v>
      </c>
      <c r="AC65" s="22">
        <f>AB65/D65</f>
        <v>75587</v>
      </c>
      <c r="AD65" s="22">
        <f>AC65*D65</f>
        <v>42479894</v>
      </c>
      <c r="AE65" s="25"/>
      <c r="AF65" s="157">
        <f t="shared" si="0"/>
        <v>-1</v>
      </c>
    </row>
    <row r="66" spans="1:32" s="4" customFormat="1" ht="25.5" x14ac:dyDescent="0.25">
      <c r="A66" s="64" t="s">
        <v>1407</v>
      </c>
      <c r="B66" s="55" t="s">
        <v>361</v>
      </c>
      <c r="C66" s="46" t="s">
        <v>82</v>
      </c>
      <c r="D66" s="47">
        <v>1225</v>
      </c>
      <c r="E66" s="14">
        <f t="shared" si="23"/>
        <v>4451.1899999999996</v>
      </c>
      <c r="F66" s="14"/>
      <c r="G66" s="14"/>
      <c r="H66" s="44">
        <v>5452710</v>
      </c>
      <c r="I66" s="15"/>
      <c r="J66" s="15"/>
      <c r="K66" s="15"/>
      <c r="L66" s="15"/>
      <c r="M66" s="44"/>
      <c r="N66" s="44"/>
      <c r="O66" s="22">
        <f t="shared" si="24"/>
        <v>49728715</v>
      </c>
      <c r="P66" s="22">
        <f t="shared" si="25"/>
        <v>2038877</v>
      </c>
      <c r="Q66" s="22">
        <f t="shared" si="26"/>
        <v>51767592</v>
      </c>
      <c r="R66" s="22">
        <f t="shared" si="27"/>
        <v>181187</v>
      </c>
      <c r="S66" s="22"/>
      <c r="T66" s="22"/>
      <c r="U66" s="152">
        <f t="shared" si="28"/>
        <v>252493</v>
      </c>
      <c r="V66" s="151">
        <f t="shared" si="29"/>
        <v>28895</v>
      </c>
      <c r="W66" s="22"/>
      <c r="X66" s="22"/>
      <c r="Y66" s="22"/>
      <c r="Z66" s="22"/>
      <c r="AA66" s="22">
        <f t="shared" si="30"/>
        <v>52230167</v>
      </c>
      <c r="AB66" s="22">
        <f t="shared" si="31"/>
        <v>56284273</v>
      </c>
      <c r="AC66" s="22">
        <f>AB66/D66</f>
        <v>45946</v>
      </c>
      <c r="AD66" s="22">
        <f>AC66*D66</f>
        <v>56283850</v>
      </c>
      <c r="AE66" s="25"/>
      <c r="AF66" s="157">
        <f t="shared" si="0"/>
        <v>-423</v>
      </c>
    </row>
    <row r="67" spans="1:32" s="4" customFormat="1" x14ac:dyDescent="0.25">
      <c r="A67" s="10" t="s">
        <v>1408</v>
      </c>
      <c r="B67" s="11" t="s">
        <v>88</v>
      </c>
      <c r="C67" s="21"/>
      <c r="D67" s="29"/>
      <c r="E67" s="14"/>
      <c r="F67" s="14"/>
      <c r="G67" s="14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52"/>
      <c r="V67" s="151"/>
      <c r="W67" s="22"/>
      <c r="X67" s="22"/>
      <c r="Y67" s="22"/>
      <c r="Z67" s="22"/>
      <c r="AA67" s="22"/>
      <c r="AB67" s="22"/>
      <c r="AC67" s="22"/>
      <c r="AD67" s="22"/>
      <c r="AE67" s="25"/>
      <c r="AF67" s="157">
        <f t="shared" si="0"/>
        <v>0</v>
      </c>
    </row>
    <row r="68" spans="1:32" s="4" customFormat="1" ht="38.25" x14ac:dyDescent="0.25">
      <c r="A68" s="64" t="s">
        <v>1409</v>
      </c>
      <c r="B68" s="55" t="s">
        <v>362</v>
      </c>
      <c r="C68" s="46" t="s">
        <v>82</v>
      </c>
      <c r="D68" s="47">
        <v>230</v>
      </c>
      <c r="E68" s="14">
        <f t="shared" si="23"/>
        <v>8115.27</v>
      </c>
      <c r="F68" s="14"/>
      <c r="G68" s="14"/>
      <c r="H68" s="44">
        <v>1866513</v>
      </c>
      <c r="I68" s="15"/>
      <c r="J68" s="15"/>
      <c r="K68" s="15"/>
      <c r="L68" s="15"/>
      <c r="M68" s="44"/>
      <c r="N68" s="44"/>
      <c r="O68" s="22">
        <f t="shared" si="24"/>
        <v>17022599</v>
      </c>
      <c r="P68" s="22">
        <f t="shared" si="25"/>
        <v>697927</v>
      </c>
      <c r="Q68" s="22">
        <f t="shared" si="26"/>
        <v>17720526</v>
      </c>
      <c r="R68" s="22">
        <f t="shared" si="27"/>
        <v>62022</v>
      </c>
      <c r="S68" s="22"/>
      <c r="T68" s="22"/>
      <c r="U68" s="152">
        <f t="shared" si="28"/>
        <v>86431</v>
      </c>
      <c r="V68" s="151">
        <f t="shared" si="29"/>
        <v>9891</v>
      </c>
      <c r="W68" s="22"/>
      <c r="X68" s="22"/>
      <c r="Y68" s="22"/>
      <c r="Z68" s="22"/>
      <c r="AA68" s="22">
        <f t="shared" si="30"/>
        <v>17878870</v>
      </c>
      <c r="AB68" s="22">
        <f t="shared" si="31"/>
        <v>19266628</v>
      </c>
      <c r="AC68" s="22">
        <f>AB68/D68</f>
        <v>83768</v>
      </c>
      <c r="AD68" s="22">
        <f>AC68*D68</f>
        <v>19266640</v>
      </c>
      <c r="AE68" s="25"/>
      <c r="AF68" s="157">
        <f t="shared" si="0"/>
        <v>12</v>
      </c>
    </row>
    <row r="69" spans="1:32" s="4" customFormat="1" ht="25.5" x14ac:dyDescent="0.25">
      <c r="A69" s="64" t="s">
        <v>1410</v>
      </c>
      <c r="B69" s="55" t="s">
        <v>363</v>
      </c>
      <c r="C69" s="46" t="s">
        <v>82</v>
      </c>
      <c r="D69" s="47">
        <v>1453</v>
      </c>
      <c r="E69" s="14">
        <f t="shared" si="23"/>
        <v>5411.02</v>
      </c>
      <c r="F69" s="14"/>
      <c r="G69" s="14"/>
      <c r="H69" s="44">
        <v>7862210</v>
      </c>
      <c r="I69" s="15"/>
      <c r="J69" s="15"/>
      <c r="K69" s="15"/>
      <c r="L69" s="15"/>
      <c r="M69" s="44"/>
      <c r="N69" s="44"/>
      <c r="O69" s="22">
        <f t="shared" si="24"/>
        <v>71703355</v>
      </c>
      <c r="P69" s="22">
        <f t="shared" si="25"/>
        <v>2939838</v>
      </c>
      <c r="Q69" s="22">
        <f t="shared" si="26"/>
        <v>74643193</v>
      </c>
      <c r="R69" s="22">
        <f t="shared" si="27"/>
        <v>261251</v>
      </c>
      <c r="S69" s="22"/>
      <c r="T69" s="22"/>
      <c r="U69" s="152">
        <f t="shared" si="28"/>
        <v>364067</v>
      </c>
      <c r="V69" s="151">
        <f t="shared" si="29"/>
        <v>41663</v>
      </c>
      <c r="W69" s="22"/>
      <c r="X69" s="22"/>
      <c r="Y69" s="22"/>
      <c r="Z69" s="22"/>
      <c r="AA69" s="22">
        <f t="shared" si="30"/>
        <v>75310174</v>
      </c>
      <c r="AB69" s="22">
        <f t="shared" si="31"/>
        <v>81155750</v>
      </c>
      <c r="AC69" s="22">
        <f>AB69/D69</f>
        <v>55854</v>
      </c>
      <c r="AD69" s="22">
        <f>AC69*D69</f>
        <v>81155862</v>
      </c>
      <c r="AE69" s="25"/>
      <c r="AF69" s="157">
        <f t="shared" si="0"/>
        <v>112</v>
      </c>
    </row>
    <row r="70" spans="1:32" s="91" customFormat="1" x14ac:dyDescent="0.25">
      <c r="A70" s="87" t="s">
        <v>1411</v>
      </c>
      <c r="B70" s="88" t="s">
        <v>1301</v>
      </c>
      <c r="C70" s="92"/>
      <c r="D70" s="93"/>
      <c r="E70" s="94"/>
      <c r="F70" s="94"/>
      <c r="G70" s="94"/>
      <c r="H70" s="99">
        <v>1969930</v>
      </c>
      <c r="I70" s="20"/>
      <c r="J70" s="20">
        <f>1969.93*1000</f>
        <v>1969930</v>
      </c>
      <c r="K70" s="20" t="s">
        <v>81</v>
      </c>
      <c r="L70" s="20">
        <f>H70-J70</f>
        <v>0</v>
      </c>
      <c r="M70" s="95">
        <v>17965720</v>
      </c>
      <c r="N70" s="50">
        <f>SUM(O71:O74)-M70</f>
        <v>4</v>
      </c>
      <c r="O70" s="95"/>
      <c r="P70" s="50"/>
      <c r="Q70" s="50"/>
      <c r="R70" s="50"/>
      <c r="S70" s="30"/>
      <c r="T70" s="30"/>
      <c r="U70" s="126"/>
      <c r="V70" s="131"/>
      <c r="W70" s="30"/>
      <c r="X70" s="30"/>
      <c r="Y70" s="30"/>
      <c r="Z70" s="30"/>
      <c r="AA70" s="50"/>
      <c r="AB70" s="50"/>
      <c r="AC70" s="20"/>
      <c r="AD70" s="20"/>
      <c r="AE70" s="97"/>
      <c r="AF70" s="157">
        <f t="shared" si="0"/>
        <v>0</v>
      </c>
    </row>
    <row r="71" spans="1:32" s="4" customFormat="1" ht="25.5" x14ac:dyDescent="0.25">
      <c r="A71" s="65" t="s">
        <v>1412</v>
      </c>
      <c r="B71" s="55" t="s">
        <v>386</v>
      </c>
      <c r="C71" s="24" t="s">
        <v>82</v>
      </c>
      <c r="D71" s="28">
        <v>679.77</v>
      </c>
      <c r="E71" s="45">
        <f>H71/D71</f>
        <v>989.33</v>
      </c>
      <c r="F71" s="45"/>
      <c r="G71" s="45"/>
      <c r="H71" s="135">
        <v>672520</v>
      </c>
      <c r="I71" s="15"/>
      <c r="J71" s="15"/>
      <c r="K71" s="15"/>
      <c r="L71" s="15"/>
      <c r="M71" s="22"/>
      <c r="N71" s="22"/>
      <c r="O71" s="22">
        <f>H71*9.12</f>
        <v>6133382</v>
      </c>
      <c r="P71" s="19">
        <f>O71*4.1%</f>
        <v>251469</v>
      </c>
      <c r="Q71" s="19">
        <f>SUM(O71:P71)</f>
        <v>6384851</v>
      </c>
      <c r="R71" s="6">
        <f>Q71*0.35%</f>
        <v>22347</v>
      </c>
      <c r="S71" s="6"/>
      <c r="T71" s="6"/>
      <c r="U71" s="121">
        <f>Q71*$U$4</f>
        <v>31142</v>
      </c>
      <c r="V71" s="131">
        <f>Q71*$V$5</f>
        <v>3564</v>
      </c>
      <c r="W71" s="6"/>
      <c r="X71" s="6"/>
      <c r="Y71" s="6"/>
      <c r="Z71" s="6"/>
      <c r="AA71" s="19">
        <f>SUM(Q71:Z71)</f>
        <v>6441904</v>
      </c>
      <c r="AB71" s="19">
        <f>$AA71*AB$7</f>
        <v>6941925</v>
      </c>
      <c r="AC71" s="15">
        <f>AB71/D71</f>
        <v>10212.17</v>
      </c>
      <c r="AD71" s="15">
        <f>AC71*D71</f>
        <v>6941926.7999999998</v>
      </c>
      <c r="AE71" s="25"/>
      <c r="AF71" s="157">
        <f t="shared" si="0"/>
        <v>1.8</v>
      </c>
    </row>
    <row r="72" spans="1:32" s="4" customFormat="1" ht="25.5" x14ac:dyDescent="0.25">
      <c r="A72" s="65" t="s">
        <v>1413</v>
      </c>
      <c r="B72" s="55" t="s">
        <v>367</v>
      </c>
      <c r="C72" s="24" t="s">
        <v>82</v>
      </c>
      <c r="D72" s="28">
        <v>517.16999999999996</v>
      </c>
      <c r="E72" s="45">
        <f>H72/D72</f>
        <v>1031.47</v>
      </c>
      <c r="F72" s="45"/>
      <c r="G72" s="45"/>
      <c r="H72" s="135">
        <v>533445</v>
      </c>
      <c r="I72" s="15"/>
      <c r="J72" s="15"/>
      <c r="K72" s="15"/>
      <c r="L72" s="15"/>
      <c r="M72" s="22"/>
      <c r="N72" s="22"/>
      <c r="O72" s="22">
        <f t="shared" ref="O72:O74" si="34">H72*9.12</f>
        <v>4865018</v>
      </c>
      <c r="P72" s="19">
        <f t="shared" ref="P72:P74" si="35">O72*4.1%</f>
        <v>199466</v>
      </c>
      <c r="Q72" s="19">
        <f t="shared" ref="Q72:Q74" si="36">SUM(O72:P72)</f>
        <v>5064484</v>
      </c>
      <c r="R72" s="6">
        <f t="shared" ref="R72:R74" si="37">Q72*0.35%</f>
        <v>17726</v>
      </c>
      <c r="S72" s="6"/>
      <c r="T72" s="6"/>
      <c r="U72" s="121">
        <f t="shared" ref="U72:U74" si="38">Q72*$U$4</f>
        <v>24702</v>
      </c>
      <c r="V72" s="131">
        <f t="shared" ref="V72:V74" si="39">Q72*$V$5</f>
        <v>2827</v>
      </c>
      <c r="W72" s="6"/>
      <c r="X72" s="6"/>
      <c r="Y72" s="6"/>
      <c r="Z72" s="6"/>
      <c r="AA72" s="19">
        <f t="shared" ref="AA72:AA74" si="40">SUM(Q72:Z72)</f>
        <v>5109739</v>
      </c>
      <c r="AB72" s="19">
        <f t="shared" ref="AB72:AB74" si="41">$AA72*AB$7</f>
        <v>5506357</v>
      </c>
      <c r="AC72" s="15">
        <f>AB72/D72</f>
        <v>10647.09</v>
      </c>
      <c r="AD72" s="15">
        <f>AC72*D72</f>
        <v>5506355.54</v>
      </c>
      <c r="AE72" s="25"/>
      <c r="AF72" s="157">
        <f t="shared" si="0"/>
        <v>-1.46</v>
      </c>
    </row>
    <row r="73" spans="1:32" s="4" customFormat="1" ht="25.5" x14ac:dyDescent="0.25">
      <c r="A73" s="65" t="s">
        <v>1414</v>
      </c>
      <c r="B73" s="55" t="s">
        <v>366</v>
      </c>
      <c r="C73" s="24" t="s">
        <v>82</v>
      </c>
      <c r="D73" s="28">
        <v>116.94</v>
      </c>
      <c r="E73" s="45">
        <f>H73/D73</f>
        <v>2375.8200000000002</v>
      </c>
      <c r="F73" s="45"/>
      <c r="G73" s="45"/>
      <c r="H73" s="135">
        <v>277828</v>
      </c>
      <c r="I73" s="15"/>
      <c r="J73" s="15"/>
      <c r="K73" s="15"/>
      <c r="L73" s="15"/>
      <c r="M73" s="22"/>
      <c r="N73" s="22"/>
      <c r="O73" s="22">
        <f t="shared" si="34"/>
        <v>2533791</v>
      </c>
      <c r="P73" s="19">
        <f t="shared" si="35"/>
        <v>103885</v>
      </c>
      <c r="Q73" s="19">
        <f t="shared" si="36"/>
        <v>2637676</v>
      </c>
      <c r="R73" s="6">
        <f t="shared" si="37"/>
        <v>9232</v>
      </c>
      <c r="S73" s="6"/>
      <c r="T73" s="6"/>
      <c r="U73" s="121">
        <f t="shared" si="38"/>
        <v>12865</v>
      </c>
      <c r="V73" s="131">
        <f t="shared" si="39"/>
        <v>1472</v>
      </c>
      <c r="W73" s="6"/>
      <c r="X73" s="6"/>
      <c r="Y73" s="6"/>
      <c r="Z73" s="6"/>
      <c r="AA73" s="19">
        <f t="shared" si="40"/>
        <v>2661245</v>
      </c>
      <c r="AB73" s="19">
        <f t="shared" si="41"/>
        <v>2867811</v>
      </c>
      <c r="AC73" s="15">
        <f>AB73/D73</f>
        <v>24523.78</v>
      </c>
      <c r="AD73" s="15">
        <f>AC73*D73</f>
        <v>2867810.83</v>
      </c>
      <c r="AE73" s="25"/>
      <c r="AF73" s="157">
        <f t="shared" si="0"/>
        <v>-0.17</v>
      </c>
    </row>
    <row r="74" spans="1:32" s="4" customFormat="1" ht="25.5" x14ac:dyDescent="0.25">
      <c r="A74" s="65" t="s">
        <v>1415</v>
      </c>
      <c r="B74" s="55" t="s">
        <v>365</v>
      </c>
      <c r="C74" s="24" t="s">
        <v>82</v>
      </c>
      <c r="D74" s="28">
        <v>512.11</v>
      </c>
      <c r="E74" s="45">
        <f>H74/D74</f>
        <v>949.27</v>
      </c>
      <c r="F74" s="45"/>
      <c r="G74" s="45"/>
      <c r="H74" s="135">
        <v>486133</v>
      </c>
      <c r="I74" s="15"/>
      <c r="J74" s="15"/>
      <c r="K74" s="15"/>
      <c r="L74" s="15"/>
      <c r="M74" s="22"/>
      <c r="N74" s="22"/>
      <c r="O74" s="22">
        <f t="shared" si="34"/>
        <v>4433533</v>
      </c>
      <c r="P74" s="19">
        <f t="shared" si="35"/>
        <v>181775</v>
      </c>
      <c r="Q74" s="19">
        <f t="shared" si="36"/>
        <v>4615308</v>
      </c>
      <c r="R74" s="6">
        <f t="shared" si="37"/>
        <v>16154</v>
      </c>
      <c r="S74" s="6"/>
      <c r="T74" s="6"/>
      <c r="U74" s="121">
        <f t="shared" si="38"/>
        <v>22511</v>
      </c>
      <c r="V74" s="131">
        <f t="shared" si="39"/>
        <v>2576</v>
      </c>
      <c r="W74" s="6"/>
      <c r="X74" s="6"/>
      <c r="Y74" s="6"/>
      <c r="Z74" s="6"/>
      <c r="AA74" s="19">
        <f t="shared" si="40"/>
        <v>4656549</v>
      </c>
      <c r="AB74" s="19">
        <f t="shared" si="41"/>
        <v>5017990</v>
      </c>
      <c r="AC74" s="15">
        <f>AB74/D74</f>
        <v>9798.66</v>
      </c>
      <c r="AD74" s="15">
        <f>AC74*D74</f>
        <v>5017991.7699999996</v>
      </c>
      <c r="AE74" s="25"/>
      <c r="AF74" s="157">
        <f t="shared" si="0"/>
        <v>1.77</v>
      </c>
    </row>
    <row r="75" spans="1:32" s="91" customFormat="1" ht="25.5" x14ac:dyDescent="0.25">
      <c r="A75" s="100" t="s">
        <v>1416</v>
      </c>
      <c r="B75" s="101" t="s">
        <v>1302</v>
      </c>
      <c r="C75" s="92" t="s">
        <v>83</v>
      </c>
      <c r="D75" s="93">
        <v>1</v>
      </c>
      <c r="E75" s="94"/>
      <c r="F75" s="94"/>
      <c r="G75" s="94"/>
      <c r="H75" s="99">
        <v>556420</v>
      </c>
      <c r="I75" s="20"/>
      <c r="J75" s="20">
        <f>556.42*1000</f>
        <v>556420</v>
      </c>
      <c r="K75" s="20" t="s">
        <v>84</v>
      </c>
      <c r="L75" s="20">
        <f>H75-J75</f>
        <v>0</v>
      </c>
      <c r="M75" s="95">
        <v>5074520</v>
      </c>
      <c r="N75" s="50">
        <f>O75-M75</f>
        <v>30</v>
      </c>
      <c r="O75" s="95">
        <f>H75*9.12</f>
        <v>5074550</v>
      </c>
      <c r="P75" s="50">
        <f>O75*4.1%</f>
        <v>208057</v>
      </c>
      <c r="Q75" s="50">
        <f>SUM(O75:P75)</f>
        <v>5282607</v>
      </c>
      <c r="R75" s="50">
        <f>Q75*0.35%</f>
        <v>18489</v>
      </c>
      <c r="S75" s="30"/>
      <c r="T75" s="30"/>
      <c r="U75" s="30"/>
      <c r="V75" s="30"/>
      <c r="W75" s="30"/>
      <c r="X75" s="30"/>
      <c r="Y75" s="30"/>
      <c r="Z75" s="30"/>
      <c r="AA75" s="50">
        <f>SUM(Q75:Z75)</f>
        <v>5301096</v>
      </c>
      <c r="AB75" s="50">
        <f t="shared" ref="AB75:AB78" si="42">$AA75*AB$7</f>
        <v>5712567</v>
      </c>
      <c r="AC75" s="20">
        <f>AB75/D75</f>
        <v>5712567</v>
      </c>
      <c r="AD75" s="20">
        <f>AC75*D75</f>
        <v>5712567</v>
      </c>
      <c r="AE75" s="97"/>
      <c r="AF75" s="157">
        <f t="shared" si="0"/>
        <v>0</v>
      </c>
    </row>
    <row r="76" spans="1:32" s="91" customFormat="1" x14ac:dyDescent="0.25">
      <c r="A76" s="100" t="s">
        <v>78</v>
      </c>
      <c r="B76" s="101" t="s">
        <v>94</v>
      </c>
      <c r="C76" s="92"/>
      <c r="D76" s="93"/>
      <c r="E76" s="94"/>
      <c r="F76" s="94"/>
      <c r="G76" s="94"/>
      <c r="H76" s="99">
        <v>2597710</v>
      </c>
      <c r="I76" s="20"/>
      <c r="J76" s="20">
        <f>2597.71*1000</f>
        <v>2597710</v>
      </c>
      <c r="K76" s="20" t="s">
        <v>85</v>
      </c>
      <c r="L76" s="20">
        <f>H76-J76</f>
        <v>0</v>
      </c>
      <c r="M76" s="95">
        <v>23691120</v>
      </c>
      <c r="N76" s="50">
        <f>O77+O78-M76</f>
        <v>-41</v>
      </c>
      <c r="O76" s="95"/>
      <c r="P76" s="50"/>
      <c r="Q76" s="50"/>
      <c r="R76" s="50"/>
      <c r="S76" s="50"/>
      <c r="T76" s="50"/>
      <c r="U76" s="126"/>
      <c r="V76" s="126"/>
      <c r="W76" s="50"/>
      <c r="X76" s="95"/>
      <c r="Y76" s="50"/>
      <c r="Z76" s="50"/>
      <c r="AA76" s="50"/>
      <c r="AB76" s="50"/>
      <c r="AC76" s="20"/>
      <c r="AD76" s="20"/>
      <c r="AE76" s="97"/>
      <c r="AF76" s="157">
        <f t="shared" si="0"/>
        <v>0</v>
      </c>
    </row>
    <row r="77" spans="1:32" s="4" customFormat="1" x14ac:dyDescent="0.25">
      <c r="A77" s="65" t="s">
        <v>80</v>
      </c>
      <c r="B77" s="55" t="s">
        <v>368</v>
      </c>
      <c r="C77" s="29" t="s">
        <v>68</v>
      </c>
      <c r="D77" s="66">
        <v>87.54</v>
      </c>
      <c r="E77" s="66">
        <f>H77/D77</f>
        <v>25404.22</v>
      </c>
      <c r="F77" s="66"/>
      <c r="G77" s="66"/>
      <c r="H77" s="135">
        <v>2223885</v>
      </c>
      <c r="I77" s="15"/>
      <c r="J77" s="15"/>
      <c r="K77" s="15"/>
      <c r="L77" s="15"/>
      <c r="M77" s="22"/>
      <c r="N77" s="22"/>
      <c r="O77" s="22">
        <f>H77*9.12</f>
        <v>20281831</v>
      </c>
      <c r="P77" s="19">
        <f>O77*4.1%</f>
        <v>831555</v>
      </c>
      <c r="Q77" s="19">
        <f>SUM(O77:P77)</f>
        <v>21113386</v>
      </c>
      <c r="R77" s="6">
        <f>Q77*0.35%</f>
        <v>73897</v>
      </c>
      <c r="S77" s="6"/>
      <c r="T77" s="6"/>
      <c r="U77" s="121">
        <f>Q77*$U$4</f>
        <v>102979</v>
      </c>
      <c r="V77" s="121">
        <f>Q77*$V$4</f>
        <v>23635</v>
      </c>
      <c r="W77" s="6"/>
      <c r="X77" s="6"/>
      <c r="Y77" s="6"/>
      <c r="Z77" s="6"/>
      <c r="AA77" s="19">
        <f>SUM(Q77:Z77)</f>
        <v>21313897</v>
      </c>
      <c r="AB77" s="19">
        <f t="shared" si="42"/>
        <v>22968282</v>
      </c>
      <c r="AC77" s="15">
        <f>AB77/D77</f>
        <v>262374.71000000002</v>
      </c>
      <c r="AD77" s="15">
        <f>AC77*D77</f>
        <v>22968282.109999999</v>
      </c>
      <c r="AE77" s="25"/>
      <c r="AF77" s="157">
        <f t="shared" ref="AF77:AF139" si="43">AD77-AB77</f>
        <v>0.11</v>
      </c>
    </row>
    <row r="78" spans="1:32" s="4" customFormat="1" x14ac:dyDescent="0.25">
      <c r="A78" s="65" t="s">
        <v>353</v>
      </c>
      <c r="B78" s="55" t="s">
        <v>369</v>
      </c>
      <c r="C78" s="29" t="s">
        <v>68</v>
      </c>
      <c r="D78" s="66" t="s">
        <v>370</v>
      </c>
      <c r="E78" s="66">
        <f>H78/D78</f>
        <v>7840.21</v>
      </c>
      <c r="F78" s="66"/>
      <c r="G78" s="66"/>
      <c r="H78" s="135">
        <v>373821</v>
      </c>
      <c r="I78" s="15"/>
      <c r="J78" s="15"/>
      <c r="K78" s="15"/>
      <c r="L78" s="15"/>
      <c r="M78" s="22"/>
      <c r="N78" s="22"/>
      <c r="O78" s="22">
        <f>H78*9.12</f>
        <v>3409248</v>
      </c>
      <c r="P78" s="19">
        <f>O78*4.1%</f>
        <v>139779</v>
      </c>
      <c r="Q78" s="19">
        <f>SUM(O78:P78)</f>
        <v>3549027</v>
      </c>
      <c r="R78" s="6">
        <f>Q78*0.35%</f>
        <v>12422</v>
      </c>
      <c r="S78" s="6"/>
      <c r="T78" s="6"/>
      <c r="U78" s="121">
        <f>Q78*$U$4</f>
        <v>17310</v>
      </c>
      <c r="V78" s="121">
        <f>Q78*$V$4</f>
        <v>3973</v>
      </c>
      <c r="W78" s="6"/>
      <c r="X78" s="6"/>
      <c r="Y78" s="6"/>
      <c r="Z78" s="6"/>
      <c r="AA78" s="19">
        <f>SUM(Q78:Z78)</f>
        <v>3582732</v>
      </c>
      <c r="AB78" s="19">
        <f t="shared" si="42"/>
        <v>3860824</v>
      </c>
      <c r="AC78" s="15">
        <f>AB78/D78</f>
        <v>80973.66</v>
      </c>
      <c r="AD78" s="15">
        <f>AC78*D78</f>
        <v>3860824.11</v>
      </c>
      <c r="AE78" s="25"/>
      <c r="AF78" s="157">
        <f t="shared" si="43"/>
        <v>0.11</v>
      </c>
    </row>
    <row r="79" spans="1:32" s="91" customFormat="1" x14ac:dyDescent="0.25">
      <c r="A79" s="100" t="s">
        <v>91</v>
      </c>
      <c r="B79" s="101" t="s">
        <v>97</v>
      </c>
      <c r="C79" s="92"/>
      <c r="D79" s="93"/>
      <c r="E79" s="94"/>
      <c r="F79" s="94"/>
      <c r="G79" s="94"/>
      <c r="H79" s="99">
        <v>8115670</v>
      </c>
      <c r="I79" s="20"/>
      <c r="J79" s="117">
        <f>8115.67*1000</f>
        <v>8115670</v>
      </c>
      <c r="K79" s="102" t="s">
        <v>89</v>
      </c>
      <c r="L79" s="20">
        <f>H79-J79</f>
        <v>0</v>
      </c>
      <c r="M79" s="50">
        <v>49522800</v>
      </c>
      <c r="N79" s="50">
        <f>O80-M79</f>
        <v>-8</v>
      </c>
      <c r="O79" s="50"/>
      <c r="P79" s="50"/>
      <c r="Q79" s="50"/>
      <c r="R79" s="30"/>
      <c r="S79" s="30"/>
      <c r="T79" s="30"/>
      <c r="U79" s="30"/>
      <c r="V79" s="30"/>
      <c r="W79" s="30"/>
      <c r="X79" s="30"/>
      <c r="Y79" s="30"/>
      <c r="Z79" s="30"/>
      <c r="AA79" s="50"/>
      <c r="AB79" s="50"/>
      <c r="AC79" s="20"/>
      <c r="AD79" s="20"/>
      <c r="AE79" s="97"/>
      <c r="AF79" s="157">
        <f t="shared" si="43"/>
        <v>0</v>
      </c>
    </row>
    <row r="80" spans="1:32" s="4" customFormat="1" ht="25.5" x14ac:dyDescent="0.25">
      <c r="A80" s="65" t="s">
        <v>1417</v>
      </c>
      <c r="B80" s="55" t="s">
        <v>99</v>
      </c>
      <c r="C80" s="21" t="s">
        <v>68</v>
      </c>
      <c r="D80" s="67">
        <v>302.06</v>
      </c>
      <c r="E80" s="14">
        <f>H80/D80</f>
        <v>26867.74</v>
      </c>
      <c r="F80" s="14"/>
      <c r="G80" s="14"/>
      <c r="H80" s="22">
        <v>8115670</v>
      </c>
      <c r="I80" s="15"/>
      <c r="J80" s="15"/>
      <c r="K80" s="15"/>
      <c r="L80" s="15">
        <f>J80-O80</f>
        <v>-49522792</v>
      </c>
      <c r="M80" s="22"/>
      <c r="N80" s="22"/>
      <c r="O80" s="22">
        <f>H80*4.82*1.266</f>
        <v>49522792</v>
      </c>
      <c r="P80" s="19"/>
      <c r="Q80" s="19">
        <f>SUM(O80:P80)</f>
        <v>49522792</v>
      </c>
      <c r="R80" s="6"/>
      <c r="S80" s="6"/>
      <c r="T80" s="6"/>
      <c r="U80" s="6"/>
      <c r="V80" s="6"/>
      <c r="W80" s="6"/>
      <c r="X80" s="6"/>
      <c r="Y80" s="6"/>
      <c r="Z80" s="6"/>
      <c r="AA80" s="19">
        <f>SUM(Q80:Z80)</f>
        <v>49522792</v>
      </c>
      <c r="AB80" s="19">
        <f>$AA80*AB$7</f>
        <v>53366751</v>
      </c>
      <c r="AC80" s="15">
        <f>AB80/D80</f>
        <v>176675.99</v>
      </c>
      <c r="AD80" s="15">
        <f>AC80*D80</f>
        <v>53366749.539999999</v>
      </c>
      <c r="AE80" s="25"/>
      <c r="AF80" s="157">
        <f t="shared" si="43"/>
        <v>-1.46</v>
      </c>
    </row>
    <row r="81" spans="1:32" s="91" customFormat="1" x14ac:dyDescent="0.25">
      <c r="A81" s="100" t="s">
        <v>93</v>
      </c>
      <c r="B81" s="101" t="s">
        <v>105</v>
      </c>
      <c r="C81" s="92"/>
      <c r="D81" s="93"/>
      <c r="E81" s="94"/>
      <c r="F81" s="94"/>
      <c r="G81" s="94"/>
      <c r="H81" s="99">
        <v>45692890</v>
      </c>
      <c r="I81" s="20"/>
      <c r="J81" s="20">
        <f>45692.89*1000</f>
        <v>45692890</v>
      </c>
      <c r="K81" s="102" t="s">
        <v>2</v>
      </c>
      <c r="L81" s="20">
        <f>H81-J81</f>
        <v>0</v>
      </c>
      <c r="M81" s="50">
        <v>278823520</v>
      </c>
      <c r="N81" s="50">
        <f>SUM(O83:O114)-M81</f>
        <v>0</v>
      </c>
      <c r="O81" s="50"/>
      <c r="P81" s="50"/>
      <c r="Q81" s="50"/>
      <c r="R81" s="30"/>
      <c r="S81" s="30"/>
      <c r="T81" s="30"/>
      <c r="U81" s="30"/>
      <c r="V81" s="30"/>
      <c r="W81" s="30"/>
      <c r="X81" s="30"/>
      <c r="Y81" s="30"/>
      <c r="Z81" s="30"/>
      <c r="AA81" s="50"/>
      <c r="AB81" s="50"/>
      <c r="AC81" s="20"/>
      <c r="AD81" s="20"/>
      <c r="AE81" s="97"/>
      <c r="AF81" s="157">
        <f t="shared" si="43"/>
        <v>0</v>
      </c>
    </row>
    <row r="82" spans="1:32" s="4" customFormat="1" ht="25.5" x14ac:dyDescent="0.25">
      <c r="A82" s="27" t="s">
        <v>95</v>
      </c>
      <c r="B82" s="11" t="s">
        <v>107</v>
      </c>
      <c r="C82" s="24"/>
      <c r="D82" s="28"/>
      <c r="E82" s="14"/>
      <c r="F82" s="14"/>
      <c r="G82" s="14"/>
      <c r="H82" s="22"/>
      <c r="I82" s="15"/>
      <c r="J82" s="15"/>
      <c r="K82" s="15"/>
      <c r="L82" s="15"/>
      <c r="M82" s="22"/>
      <c r="N82" s="22"/>
      <c r="O82" s="22"/>
      <c r="P82" s="19"/>
      <c r="Q82" s="19"/>
      <c r="R82" s="6"/>
      <c r="S82" s="6"/>
      <c r="T82" s="6"/>
      <c r="U82" s="6"/>
      <c r="V82" s="6"/>
      <c r="W82" s="6"/>
      <c r="X82" s="6"/>
      <c r="Y82" s="6"/>
      <c r="Z82" s="6"/>
      <c r="AA82" s="19"/>
      <c r="AB82" s="19"/>
      <c r="AC82" s="15"/>
      <c r="AD82" s="15"/>
      <c r="AE82" s="25"/>
      <c r="AF82" s="157">
        <f t="shared" si="43"/>
        <v>0</v>
      </c>
    </row>
    <row r="83" spans="1:32" s="4" customFormat="1" x14ac:dyDescent="0.25">
      <c r="A83" s="65" t="s">
        <v>1418</v>
      </c>
      <c r="B83" s="209" t="s">
        <v>270</v>
      </c>
      <c r="C83" s="12" t="s">
        <v>72</v>
      </c>
      <c r="D83" s="13">
        <v>314</v>
      </c>
      <c r="E83" s="14">
        <f t="shared" ref="E83:E114" si="44">H83/D83</f>
        <v>1364.23</v>
      </c>
      <c r="F83" s="14"/>
      <c r="G83" s="14"/>
      <c r="H83" s="22">
        <v>428369.26</v>
      </c>
      <c r="I83" s="15"/>
      <c r="J83" s="15"/>
      <c r="K83" s="15"/>
      <c r="L83" s="15"/>
      <c r="M83" s="22"/>
      <c r="N83" s="22"/>
      <c r="O83" s="22">
        <f>H83*4.82*1.266</f>
        <v>2613961</v>
      </c>
      <c r="P83" s="19"/>
      <c r="Q83" s="19">
        <f>SUM(O83:P83)</f>
        <v>2613961</v>
      </c>
      <c r="R83" s="6"/>
      <c r="S83" s="6"/>
      <c r="T83" s="6"/>
      <c r="U83" s="6"/>
      <c r="V83" s="6"/>
      <c r="W83" s="6"/>
      <c r="X83" s="6"/>
      <c r="Y83" s="6"/>
      <c r="Z83" s="6"/>
      <c r="AA83" s="19">
        <f>SUM(Q83:Z83)</f>
        <v>2613961</v>
      </c>
      <c r="AB83" s="19">
        <f>$AA83*AB$7</f>
        <v>2816857</v>
      </c>
      <c r="AC83" s="15">
        <f t="shared" ref="AC83:AC114" si="45">AB83/D83</f>
        <v>8970.8799999999992</v>
      </c>
      <c r="AD83" s="15">
        <f t="shared" ref="AD83:AD114" si="46">AC83*D83</f>
        <v>2816856.32</v>
      </c>
      <c r="AE83" s="25"/>
      <c r="AF83" s="157">
        <f t="shared" si="43"/>
        <v>-0.68</v>
      </c>
    </row>
    <row r="84" spans="1:32" s="4" customFormat="1" x14ac:dyDescent="0.25">
      <c r="A84" s="65" t="s">
        <v>1419</v>
      </c>
      <c r="B84" s="209" t="s">
        <v>271</v>
      </c>
      <c r="C84" s="12" t="s">
        <v>72</v>
      </c>
      <c r="D84" s="13">
        <v>380</v>
      </c>
      <c r="E84" s="14">
        <f t="shared" si="44"/>
        <v>959.92</v>
      </c>
      <c r="F84" s="14"/>
      <c r="G84" s="14"/>
      <c r="H84" s="22">
        <v>364769.83</v>
      </c>
      <c r="I84" s="15"/>
      <c r="J84" s="15"/>
      <c r="K84" s="15"/>
      <c r="L84" s="15"/>
      <c r="M84" s="22"/>
      <c r="N84" s="22"/>
      <c r="O84" s="22">
        <f t="shared" ref="O84:O114" si="47">H84*4.82*1.266</f>
        <v>2225869</v>
      </c>
      <c r="P84" s="19"/>
      <c r="Q84" s="19">
        <f t="shared" ref="Q84:Q114" si="48">SUM(O84:P84)</f>
        <v>2225869</v>
      </c>
      <c r="R84" s="6"/>
      <c r="S84" s="6"/>
      <c r="T84" s="6"/>
      <c r="U84" s="6"/>
      <c r="V84" s="6"/>
      <c r="W84" s="6"/>
      <c r="X84" s="6"/>
      <c r="Y84" s="6"/>
      <c r="Z84" s="6"/>
      <c r="AA84" s="19">
        <f t="shared" ref="AA84:AA114" si="49">SUM(Q84:Z84)</f>
        <v>2225869</v>
      </c>
      <c r="AB84" s="19">
        <f t="shared" ref="AB84:AB114" si="50">$AA84*AB$7</f>
        <v>2398641</v>
      </c>
      <c r="AC84" s="15">
        <f t="shared" si="45"/>
        <v>6312.21</v>
      </c>
      <c r="AD84" s="15">
        <f t="shared" si="46"/>
        <v>2398639.7999999998</v>
      </c>
      <c r="AE84" s="25"/>
      <c r="AF84" s="157">
        <f t="shared" si="43"/>
        <v>-1.2</v>
      </c>
    </row>
    <row r="85" spans="1:32" s="4" customFormat="1" ht="25.5" x14ac:dyDescent="0.25">
      <c r="A85" s="65" t="s">
        <v>1420</v>
      </c>
      <c r="B85" s="209" t="s">
        <v>272</v>
      </c>
      <c r="C85" s="12" t="s">
        <v>72</v>
      </c>
      <c r="D85" s="13">
        <v>707</v>
      </c>
      <c r="E85" s="14">
        <f t="shared" si="44"/>
        <v>897.01</v>
      </c>
      <c r="F85" s="14"/>
      <c r="G85" s="14"/>
      <c r="H85" s="22">
        <v>634187.41</v>
      </c>
      <c r="I85" s="15"/>
      <c r="J85" s="15"/>
      <c r="K85" s="15"/>
      <c r="L85" s="15"/>
      <c r="M85" s="22"/>
      <c r="N85" s="22"/>
      <c r="O85" s="22">
        <f t="shared" si="47"/>
        <v>3869888</v>
      </c>
      <c r="P85" s="19"/>
      <c r="Q85" s="19">
        <f t="shared" si="48"/>
        <v>3869888</v>
      </c>
      <c r="R85" s="6"/>
      <c r="S85" s="6"/>
      <c r="T85" s="6"/>
      <c r="U85" s="6"/>
      <c r="V85" s="6"/>
      <c r="W85" s="6"/>
      <c r="X85" s="6"/>
      <c r="Y85" s="6"/>
      <c r="Z85" s="6"/>
      <c r="AA85" s="19">
        <f t="shared" si="49"/>
        <v>3869888</v>
      </c>
      <c r="AB85" s="19">
        <f t="shared" si="50"/>
        <v>4170269</v>
      </c>
      <c r="AC85" s="15">
        <f t="shared" si="45"/>
        <v>5898.54</v>
      </c>
      <c r="AD85" s="15">
        <f t="shared" si="46"/>
        <v>4170267.78</v>
      </c>
      <c r="AE85" s="25"/>
      <c r="AF85" s="157">
        <f t="shared" si="43"/>
        <v>-1.22</v>
      </c>
    </row>
    <row r="86" spans="1:32" s="4" customFormat="1" ht="25.5" x14ac:dyDescent="0.25">
      <c r="A86" s="65" t="s">
        <v>1421</v>
      </c>
      <c r="B86" s="209" t="s">
        <v>273</v>
      </c>
      <c r="C86" s="12" t="s">
        <v>72</v>
      </c>
      <c r="D86" s="13">
        <v>707</v>
      </c>
      <c r="E86" s="14">
        <f t="shared" si="44"/>
        <v>1268.68</v>
      </c>
      <c r="F86" s="14"/>
      <c r="G86" s="14"/>
      <c r="H86" s="22">
        <v>896953.53</v>
      </c>
      <c r="I86" s="15"/>
      <c r="J86" s="15"/>
      <c r="K86" s="15"/>
      <c r="L86" s="15"/>
      <c r="M86" s="22"/>
      <c r="N86" s="22"/>
      <c r="O86" s="22">
        <f t="shared" si="47"/>
        <v>5473318</v>
      </c>
      <c r="P86" s="19"/>
      <c r="Q86" s="19">
        <f t="shared" si="48"/>
        <v>5473318</v>
      </c>
      <c r="R86" s="6"/>
      <c r="S86" s="6"/>
      <c r="T86" s="6"/>
      <c r="U86" s="6"/>
      <c r="V86" s="6"/>
      <c r="W86" s="6"/>
      <c r="X86" s="6"/>
      <c r="Y86" s="6"/>
      <c r="Z86" s="6"/>
      <c r="AA86" s="19">
        <f t="shared" si="49"/>
        <v>5473318</v>
      </c>
      <c r="AB86" s="19">
        <f t="shared" si="50"/>
        <v>5898157</v>
      </c>
      <c r="AC86" s="15">
        <f t="shared" si="45"/>
        <v>8342.51</v>
      </c>
      <c r="AD86" s="15">
        <f t="shared" si="46"/>
        <v>5898154.5700000003</v>
      </c>
      <c r="AE86" s="25"/>
      <c r="AF86" s="157">
        <f t="shared" si="43"/>
        <v>-2.4300000000000002</v>
      </c>
    </row>
    <row r="87" spans="1:32" s="4" customFormat="1" x14ac:dyDescent="0.25">
      <c r="A87" s="65" t="s">
        <v>1422</v>
      </c>
      <c r="B87" s="209" t="s">
        <v>274</v>
      </c>
      <c r="C87" s="12" t="s">
        <v>72</v>
      </c>
      <c r="D87" s="13">
        <v>1964</v>
      </c>
      <c r="E87" s="14">
        <f t="shared" si="44"/>
        <v>1223.47</v>
      </c>
      <c r="F87" s="14"/>
      <c r="G87" s="14"/>
      <c r="H87" s="22">
        <v>2402901.23</v>
      </c>
      <c r="I87" s="15"/>
      <c r="J87" s="15"/>
      <c r="K87" s="15"/>
      <c r="L87" s="15"/>
      <c r="M87" s="22"/>
      <c r="N87" s="22"/>
      <c r="O87" s="22">
        <f t="shared" si="47"/>
        <v>14662792</v>
      </c>
      <c r="P87" s="19"/>
      <c r="Q87" s="19">
        <f t="shared" si="48"/>
        <v>14662792</v>
      </c>
      <c r="R87" s="6"/>
      <c r="S87" s="6"/>
      <c r="T87" s="6"/>
      <c r="U87" s="6"/>
      <c r="V87" s="6"/>
      <c r="W87" s="6"/>
      <c r="X87" s="6"/>
      <c r="Y87" s="6"/>
      <c r="Z87" s="6"/>
      <c r="AA87" s="19">
        <f t="shared" si="49"/>
        <v>14662792</v>
      </c>
      <c r="AB87" s="19">
        <f t="shared" si="50"/>
        <v>15800918</v>
      </c>
      <c r="AC87" s="15">
        <f t="shared" si="45"/>
        <v>8045.27</v>
      </c>
      <c r="AD87" s="15">
        <f t="shared" si="46"/>
        <v>15800910.279999999</v>
      </c>
      <c r="AE87" s="25"/>
      <c r="AF87" s="157">
        <f t="shared" si="43"/>
        <v>-7.72</v>
      </c>
    </row>
    <row r="88" spans="1:32" s="4" customFormat="1" x14ac:dyDescent="0.25">
      <c r="A88" s="65" t="s">
        <v>1423</v>
      </c>
      <c r="B88" s="209" t="s">
        <v>275</v>
      </c>
      <c r="C88" s="12" t="s">
        <v>72</v>
      </c>
      <c r="D88" s="13">
        <v>1257</v>
      </c>
      <c r="E88" s="14">
        <f t="shared" si="44"/>
        <v>867.3</v>
      </c>
      <c r="F88" s="14"/>
      <c r="G88" s="14"/>
      <c r="H88" s="22">
        <v>1090192.29</v>
      </c>
      <c r="I88" s="15"/>
      <c r="J88" s="15"/>
      <c r="K88" s="15"/>
      <c r="L88" s="15"/>
      <c r="M88" s="22"/>
      <c r="N88" s="22"/>
      <c r="O88" s="22">
        <f t="shared" si="47"/>
        <v>6652484</v>
      </c>
      <c r="P88" s="19"/>
      <c r="Q88" s="19">
        <f t="shared" si="48"/>
        <v>6652484</v>
      </c>
      <c r="R88" s="6"/>
      <c r="S88" s="6"/>
      <c r="T88" s="6"/>
      <c r="U88" s="6"/>
      <c r="V88" s="6"/>
      <c r="W88" s="6"/>
      <c r="X88" s="6"/>
      <c r="Y88" s="6"/>
      <c r="Z88" s="6"/>
      <c r="AA88" s="19">
        <f t="shared" si="49"/>
        <v>6652484</v>
      </c>
      <c r="AB88" s="19">
        <f t="shared" si="50"/>
        <v>7168850</v>
      </c>
      <c r="AC88" s="15">
        <f t="shared" si="45"/>
        <v>5703.14</v>
      </c>
      <c r="AD88" s="15">
        <f t="shared" si="46"/>
        <v>7168846.9800000004</v>
      </c>
      <c r="AE88" s="25"/>
      <c r="AF88" s="157">
        <f t="shared" si="43"/>
        <v>-3.02</v>
      </c>
    </row>
    <row r="89" spans="1:32" s="4" customFormat="1" x14ac:dyDescent="0.25">
      <c r="A89" s="65" t="s">
        <v>1424</v>
      </c>
      <c r="B89" s="209" t="s">
        <v>276</v>
      </c>
      <c r="C89" s="12" t="s">
        <v>72</v>
      </c>
      <c r="D89" s="13">
        <v>1257</v>
      </c>
      <c r="E89" s="14">
        <f t="shared" si="44"/>
        <v>867.3</v>
      </c>
      <c r="F89" s="14"/>
      <c r="G89" s="14"/>
      <c r="H89" s="22">
        <v>1090192.29</v>
      </c>
      <c r="I89" s="15"/>
      <c r="J89" s="15"/>
      <c r="K89" s="15"/>
      <c r="L89" s="15"/>
      <c r="M89" s="22"/>
      <c r="N89" s="22"/>
      <c r="O89" s="22">
        <f t="shared" si="47"/>
        <v>6652484</v>
      </c>
      <c r="P89" s="19"/>
      <c r="Q89" s="19">
        <f t="shared" si="48"/>
        <v>6652484</v>
      </c>
      <c r="R89" s="6"/>
      <c r="S89" s="6"/>
      <c r="T89" s="6"/>
      <c r="U89" s="6"/>
      <c r="V89" s="6"/>
      <c r="W89" s="6"/>
      <c r="X89" s="6"/>
      <c r="Y89" s="6"/>
      <c r="Z89" s="6"/>
      <c r="AA89" s="19">
        <f t="shared" si="49"/>
        <v>6652484</v>
      </c>
      <c r="AB89" s="19">
        <f t="shared" si="50"/>
        <v>7168850</v>
      </c>
      <c r="AC89" s="15">
        <f t="shared" si="45"/>
        <v>5703.14</v>
      </c>
      <c r="AD89" s="15">
        <f t="shared" si="46"/>
        <v>7168846.9800000004</v>
      </c>
      <c r="AE89" s="25"/>
      <c r="AF89" s="157">
        <f t="shared" si="43"/>
        <v>-3.02</v>
      </c>
    </row>
    <row r="90" spans="1:32" s="4" customFormat="1" x14ac:dyDescent="0.25">
      <c r="A90" s="65" t="s">
        <v>1425</v>
      </c>
      <c r="B90" s="209" t="s">
        <v>277</v>
      </c>
      <c r="C90" s="12" t="s">
        <v>72</v>
      </c>
      <c r="D90" s="13">
        <v>1257</v>
      </c>
      <c r="E90" s="14">
        <f t="shared" si="44"/>
        <v>1239.77</v>
      </c>
      <c r="F90" s="14"/>
      <c r="G90" s="14"/>
      <c r="H90" s="22">
        <v>1558393.74</v>
      </c>
      <c r="I90" s="15"/>
      <c r="J90" s="15"/>
      <c r="K90" s="15"/>
      <c r="L90" s="15"/>
      <c r="M90" s="22"/>
      <c r="N90" s="22"/>
      <c r="O90" s="22">
        <f t="shared" si="47"/>
        <v>9509506</v>
      </c>
      <c r="P90" s="19"/>
      <c r="Q90" s="19">
        <f t="shared" si="48"/>
        <v>9509506</v>
      </c>
      <c r="R90" s="6"/>
      <c r="S90" s="6"/>
      <c r="T90" s="6"/>
      <c r="U90" s="6"/>
      <c r="V90" s="6"/>
      <c r="W90" s="6"/>
      <c r="X90" s="6"/>
      <c r="Y90" s="6"/>
      <c r="Z90" s="6"/>
      <c r="AA90" s="19">
        <f t="shared" si="49"/>
        <v>9509506</v>
      </c>
      <c r="AB90" s="19">
        <f t="shared" si="50"/>
        <v>10247634</v>
      </c>
      <c r="AC90" s="15">
        <f t="shared" si="45"/>
        <v>8152.45</v>
      </c>
      <c r="AD90" s="15">
        <f t="shared" si="46"/>
        <v>10247629.65</v>
      </c>
      <c r="AE90" s="25"/>
      <c r="AF90" s="157">
        <f t="shared" si="43"/>
        <v>-4.3499999999999996</v>
      </c>
    </row>
    <row r="91" spans="1:32" s="4" customFormat="1" x14ac:dyDescent="0.25">
      <c r="A91" s="65" t="s">
        <v>1426</v>
      </c>
      <c r="B91" s="209" t="s">
        <v>278</v>
      </c>
      <c r="C91" s="12" t="s">
        <v>72</v>
      </c>
      <c r="D91" s="13">
        <v>1452</v>
      </c>
      <c r="E91" s="14">
        <f t="shared" si="44"/>
        <v>860.23</v>
      </c>
      <c r="F91" s="14"/>
      <c r="G91" s="14"/>
      <c r="H91" s="22">
        <v>1249054.01</v>
      </c>
      <c r="I91" s="15"/>
      <c r="J91" s="15"/>
      <c r="K91" s="15"/>
      <c r="L91" s="15"/>
      <c r="M91" s="22"/>
      <c r="N91" s="22"/>
      <c r="O91" s="22">
        <f t="shared" si="47"/>
        <v>7621877</v>
      </c>
      <c r="P91" s="19"/>
      <c r="Q91" s="19">
        <f t="shared" si="48"/>
        <v>7621877</v>
      </c>
      <c r="R91" s="6"/>
      <c r="S91" s="6"/>
      <c r="T91" s="6"/>
      <c r="U91" s="6"/>
      <c r="V91" s="6"/>
      <c r="W91" s="6"/>
      <c r="X91" s="6"/>
      <c r="Y91" s="6"/>
      <c r="Z91" s="6"/>
      <c r="AA91" s="19">
        <f t="shared" si="49"/>
        <v>7621877</v>
      </c>
      <c r="AB91" s="19">
        <f t="shared" si="50"/>
        <v>8213487</v>
      </c>
      <c r="AC91" s="15">
        <f t="shared" si="45"/>
        <v>5656.67</v>
      </c>
      <c r="AD91" s="15">
        <f t="shared" si="46"/>
        <v>8213484.8399999999</v>
      </c>
      <c r="AE91" s="25"/>
      <c r="AF91" s="157">
        <f t="shared" si="43"/>
        <v>-2.16</v>
      </c>
    </row>
    <row r="92" spans="1:32" s="4" customFormat="1" x14ac:dyDescent="0.25">
      <c r="A92" s="65" t="s">
        <v>1427</v>
      </c>
      <c r="B92" s="209" t="s">
        <v>279</v>
      </c>
      <c r="C92" s="12" t="s">
        <v>72</v>
      </c>
      <c r="D92" s="13">
        <v>1257</v>
      </c>
      <c r="E92" s="14">
        <f t="shared" si="44"/>
        <v>868.93</v>
      </c>
      <c r="F92" s="14"/>
      <c r="G92" s="14"/>
      <c r="H92" s="22">
        <v>1092250.32</v>
      </c>
      <c r="I92" s="15"/>
      <c r="J92" s="15"/>
      <c r="K92" s="15"/>
      <c r="L92" s="15"/>
      <c r="M92" s="22"/>
      <c r="N92" s="22"/>
      <c r="O92" s="22">
        <f t="shared" si="47"/>
        <v>6665043</v>
      </c>
      <c r="P92" s="19"/>
      <c r="Q92" s="19">
        <f t="shared" si="48"/>
        <v>6665043</v>
      </c>
      <c r="R92" s="6"/>
      <c r="S92" s="6"/>
      <c r="T92" s="6"/>
      <c r="U92" s="6"/>
      <c r="V92" s="6"/>
      <c r="W92" s="6"/>
      <c r="X92" s="6"/>
      <c r="Y92" s="6"/>
      <c r="Z92" s="6"/>
      <c r="AA92" s="19">
        <f t="shared" si="49"/>
        <v>6665043</v>
      </c>
      <c r="AB92" s="19">
        <f t="shared" si="50"/>
        <v>7182384</v>
      </c>
      <c r="AC92" s="15">
        <f t="shared" si="45"/>
        <v>5713.91</v>
      </c>
      <c r="AD92" s="15">
        <f t="shared" si="46"/>
        <v>7182384.8700000001</v>
      </c>
      <c r="AE92" s="25"/>
      <c r="AF92" s="157">
        <f t="shared" si="43"/>
        <v>0.87</v>
      </c>
    </row>
    <row r="93" spans="1:32" s="4" customFormat="1" x14ac:dyDescent="0.25">
      <c r="A93" s="65" t="s">
        <v>1428</v>
      </c>
      <c r="B93" s="209" t="s">
        <v>269</v>
      </c>
      <c r="C93" s="12" t="s">
        <v>72</v>
      </c>
      <c r="D93" s="13">
        <v>380</v>
      </c>
      <c r="E93" s="14">
        <f t="shared" si="44"/>
        <v>1338.15</v>
      </c>
      <c r="F93" s="14"/>
      <c r="G93" s="14"/>
      <c r="H93" s="22">
        <v>508495.55</v>
      </c>
      <c r="I93" s="15"/>
      <c r="J93" s="15"/>
      <c r="K93" s="15"/>
      <c r="L93" s="15"/>
      <c r="M93" s="22"/>
      <c r="N93" s="22"/>
      <c r="O93" s="22">
        <f t="shared" si="47"/>
        <v>3102901</v>
      </c>
      <c r="P93" s="19"/>
      <c r="Q93" s="19">
        <f t="shared" si="48"/>
        <v>3102901</v>
      </c>
      <c r="R93" s="6"/>
      <c r="S93" s="6"/>
      <c r="T93" s="6"/>
      <c r="U93" s="6"/>
      <c r="V93" s="6"/>
      <c r="W93" s="6"/>
      <c r="X93" s="6"/>
      <c r="Y93" s="6"/>
      <c r="Z93" s="6"/>
      <c r="AA93" s="19">
        <f t="shared" si="49"/>
        <v>3102901</v>
      </c>
      <c r="AB93" s="19">
        <f t="shared" si="50"/>
        <v>3343748</v>
      </c>
      <c r="AC93" s="15">
        <f t="shared" si="45"/>
        <v>8799.34</v>
      </c>
      <c r="AD93" s="15">
        <f t="shared" si="46"/>
        <v>3343749.2</v>
      </c>
      <c r="AE93" s="25"/>
      <c r="AF93" s="157">
        <f t="shared" si="43"/>
        <v>1.2</v>
      </c>
    </row>
    <row r="94" spans="1:32" s="4" customFormat="1" x14ac:dyDescent="0.25">
      <c r="A94" s="65" t="s">
        <v>1429</v>
      </c>
      <c r="B94" s="209" t="s">
        <v>280</v>
      </c>
      <c r="C94" s="12" t="s">
        <v>72</v>
      </c>
      <c r="D94" s="13">
        <v>452.16</v>
      </c>
      <c r="E94" s="14">
        <f t="shared" si="44"/>
        <v>1316.32</v>
      </c>
      <c r="F94" s="14"/>
      <c r="G94" s="14"/>
      <c r="H94" s="22">
        <v>595187</v>
      </c>
      <c r="I94" s="15"/>
      <c r="J94" s="15"/>
      <c r="K94" s="15"/>
      <c r="L94" s="15"/>
      <c r="M94" s="22"/>
      <c r="N94" s="22"/>
      <c r="O94" s="22">
        <f t="shared" si="47"/>
        <v>3631902</v>
      </c>
      <c r="P94" s="19"/>
      <c r="Q94" s="19">
        <f t="shared" si="48"/>
        <v>3631902</v>
      </c>
      <c r="R94" s="6"/>
      <c r="S94" s="6"/>
      <c r="T94" s="6"/>
      <c r="U94" s="6"/>
      <c r="V94" s="6"/>
      <c r="W94" s="6"/>
      <c r="X94" s="6"/>
      <c r="Y94" s="6"/>
      <c r="Z94" s="6"/>
      <c r="AA94" s="19">
        <f t="shared" si="49"/>
        <v>3631902</v>
      </c>
      <c r="AB94" s="19">
        <f t="shared" si="50"/>
        <v>3913810</v>
      </c>
      <c r="AC94" s="15">
        <f t="shared" si="45"/>
        <v>8655.81</v>
      </c>
      <c r="AD94" s="15">
        <f t="shared" si="46"/>
        <v>3913811.05</v>
      </c>
      <c r="AE94" s="25"/>
      <c r="AF94" s="157">
        <f t="shared" si="43"/>
        <v>1.05</v>
      </c>
    </row>
    <row r="95" spans="1:32" s="4" customFormat="1" ht="25.5" x14ac:dyDescent="0.25">
      <c r="A95" s="65" t="s">
        <v>1430</v>
      </c>
      <c r="B95" s="209" t="s">
        <v>281</v>
      </c>
      <c r="C95" s="12" t="s">
        <v>72</v>
      </c>
      <c r="D95" s="13">
        <v>3318</v>
      </c>
      <c r="E95" s="14">
        <f t="shared" si="44"/>
        <v>1215.99</v>
      </c>
      <c r="F95" s="14"/>
      <c r="G95" s="14"/>
      <c r="H95" s="22">
        <v>4034658.94</v>
      </c>
      <c r="I95" s="15"/>
      <c r="J95" s="15"/>
      <c r="K95" s="15"/>
      <c r="L95" s="15"/>
      <c r="M95" s="22"/>
      <c r="N95" s="22"/>
      <c r="O95" s="22">
        <f t="shared" si="47"/>
        <v>24619973</v>
      </c>
      <c r="P95" s="19"/>
      <c r="Q95" s="19">
        <f t="shared" si="48"/>
        <v>24619973</v>
      </c>
      <c r="R95" s="6"/>
      <c r="S95" s="6"/>
      <c r="T95" s="6"/>
      <c r="U95" s="6"/>
      <c r="V95" s="6"/>
      <c r="W95" s="6"/>
      <c r="X95" s="6"/>
      <c r="Y95" s="6"/>
      <c r="Z95" s="6"/>
      <c r="AA95" s="19">
        <f t="shared" si="49"/>
        <v>24619973</v>
      </c>
      <c r="AB95" s="19">
        <f t="shared" si="50"/>
        <v>26530975</v>
      </c>
      <c r="AC95" s="15">
        <f t="shared" si="45"/>
        <v>7996.07</v>
      </c>
      <c r="AD95" s="15">
        <f t="shared" si="46"/>
        <v>26530960.260000002</v>
      </c>
      <c r="AE95" s="25"/>
      <c r="AF95" s="157">
        <f t="shared" si="43"/>
        <v>-14.74</v>
      </c>
    </row>
    <row r="96" spans="1:32" s="4" customFormat="1" ht="25.5" x14ac:dyDescent="0.25">
      <c r="A96" s="65" t="s">
        <v>1431</v>
      </c>
      <c r="B96" s="209" t="s">
        <v>282</v>
      </c>
      <c r="C96" s="12" t="s">
        <v>72</v>
      </c>
      <c r="D96" s="13">
        <v>314</v>
      </c>
      <c r="E96" s="14">
        <f t="shared" si="44"/>
        <v>991.46</v>
      </c>
      <c r="F96" s="14"/>
      <c r="G96" s="14"/>
      <c r="H96" s="22">
        <v>311319</v>
      </c>
      <c r="I96" s="15"/>
      <c r="J96" s="15"/>
      <c r="K96" s="15"/>
      <c r="L96" s="15"/>
      <c r="M96" s="22"/>
      <c r="N96" s="22"/>
      <c r="O96" s="22">
        <f t="shared" si="47"/>
        <v>1899706</v>
      </c>
      <c r="P96" s="19"/>
      <c r="Q96" s="19">
        <f t="shared" si="48"/>
        <v>1899706</v>
      </c>
      <c r="R96" s="6"/>
      <c r="S96" s="6"/>
      <c r="T96" s="6"/>
      <c r="U96" s="6"/>
      <c r="V96" s="6"/>
      <c r="W96" s="6"/>
      <c r="X96" s="6"/>
      <c r="Y96" s="6"/>
      <c r="Z96" s="6"/>
      <c r="AA96" s="19">
        <f t="shared" si="49"/>
        <v>1899706</v>
      </c>
      <c r="AB96" s="19">
        <f t="shared" si="50"/>
        <v>2047161</v>
      </c>
      <c r="AC96" s="15">
        <f t="shared" si="45"/>
        <v>6519.62</v>
      </c>
      <c r="AD96" s="15">
        <f t="shared" si="46"/>
        <v>2047160.68</v>
      </c>
      <c r="AE96" s="25"/>
      <c r="AF96" s="157">
        <f t="shared" si="43"/>
        <v>-0.32</v>
      </c>
    </row>
    <row r="97" spans="1:32" s="4" customFormat="1" ht="25.5" x14ac:dyDescent="0.25">
      <c r="A97" s="65" t="s">
        <v>1432</v>
      </c>
      <c r="B97" s="209" t="s">
        <v>283</v>
      </c>
      <c r="C97" s="12" t="s">
        <v>72</v>
      </c>
      <c r="D97" s="13">
        <v>2376</v>
      </c>
      <c r="E97" s="14">
        <f t="shared" si="44"/>
        <v>847.71</v>
      </c>
      <c r="F97" s="14"/>
      <c r="G97" s="14"/>
      <c r="H97" s="22">
        <v>2014156.67</v>
      </c>
      <c r="I97" s="15"/>
      <c r="J97" s="15"/>
      <c r="K97" s="15"/>
      <c r="L97" s="15"/>
      <c r="M97" s="22"/>
      <c r="N97" s="22"/>
      <c r="O97" s="22">
        <f t="shared" si="47"/>
        <v>12290626</v>
      </c>
      <c r="P97" s="19"/>
      <c r="Q97" s="19">
        <f t="shared" si="48"/>
        <v>12290626</v>
      </c>
      <c r="R97" s="6"/>
      <c r="S97" s="6"/>
      <c r="T97" s="6"/>
      <c r="U97" s="6"/>
      <c r="V97" s="6"/>
      <c r="W97" s="6"/>
      <c r="X97" s="6"/>
      <c r="Y97" s="6"/>
      <c r="Z97" s="6"/>
      <c r="AA97" s="19">
        <f t="shared" si="49"/>
        <v>12290626</v>
      </c>
      <c r="AB97" s="19">
        <f t="shared" si="50"/>
        <v>13244624</v>
      </c>
      <c r="AC97" s="15">
        <f t="shared" si="45"/>
        <v>5574.34</v>
      </c>
      <c r="AD97" s="15">
        <f t="shared" si="46"/>
        <v>13244631.84</v>
      </c>
      <c r="AE97" s="25"/>
      <c r="AF97" s="157">
        <f t="shared" si="43"/>
        <v>7.84</v>
      </c>
    </row>
    <row r="98" spans="1:32" s="4" customFormat="1" ht="25.5" x14ac:dyDescent="0.25">
      <c r="A98" s="65" t="s">
        <v>1433</v>
      </c>
      <c r="B98" s="209" t="s">
        <v>284</v>
      </c>
      <c r="C98" s="12" t="s">
        <v>72</v>
      </c>
      <c r="D98" s="13">
        <v>1257</v>
      </c>
      <c r="E98" s="14">
        <f t="shared" si="44"/>
        <v>1239.77</v>
      </c>
      <c r="F98" s="14"/>
      <c r="G98" s="14"/>
      <c r="H98" s="22">
        <v>1558393.74</v>
      </c>
      <c r="I98" s="15"/>
      <c r="J98" s="15"/>
      <c r="K98" s="15"/>
      <c r="L98" s="15"/>
      <c r="M98" s="22"/>
      <c r="N98" s="22"/>
      <c r="O98" s="22">
        <f t="shared" si="47"/>
        <v>9509506</v>
      </c>
      <c r="P98" s="19"/>
      <c r="Q98" s="19">
        <f t="shared" si="48"/>
        <v>9509506</v>
      </c>
      <c r="R98" s="6"/>
      <c r="S98" s="6"/>
      <c r="T98" s="6"/>
      <c r="U98" s="6"/>
      <c r="V98" s="6"/>
      <c r="W98" s="6"/>
      <c r="X98" s="6"/>
      <c r="Y98" s="6"/>
      <c r="Z98" s="6"/>
      <c r="AA98" s="19">
        <f t="shared" si="49"/>
        <v>9509506</v>
      </c>
      <c r="AB98" s="19">
        <f t="shared" si="50"/>
        <v>10247634</v>
      </c>
      <c r="AC98" s="15">
        <f t="shared" si="45"/>
        <v>8152.45</v>
      </c>
      <c r="AD98" s="15">
        <f t="shared" si="46"/>
        <v>10247629.65</v>
      </c>
      <c r="AE98" s="25"/>
      <c r="AF98" s="157">
        <f t="shared" si="43"/>
        <v>-4.3499999999999996</v>
      </c>
    </row>
    <row r="99" spans="1:32" s="4" customFormat="1" ht="25.5" x14ac:dyDescent="0.25">
      <c r="A99" s="65" t="s">
        <v>1434</v>
      </c>
      <c r="B99" s="209" t="s">
        <v>285</v>
      </c>
      <c r="C99" s="12" t="s">
        <v>72</v>
      </c>
      <c r="D99" s="13">
        <v>3849</v>
      </c>
      <c r="E99" s="14">
        <f t="shared" si="44"/>
        <v>840.38</v>
      </c>
      <c r="F99" s="14"/>
      <c r="G99" s="14"/>
      <c r="H99" s="22">
        <v>3234628.74</v>
      </c>
      <c r="I99" s="15"/>
      <c r="J99" s="15"/>
      <c r="K99" s="15"/>
      <c r="L99" s="15"/>
      <c r="M99" s="22"/>
      <c r="N99" s="22"/>
      <c r="O99" s="22">
        <f t="shared" si="47"/>
        <v>19738093</v>
      </c>
      <c r="P99" s="19"/>
      <c r="Q99" s="19">
        <f t="shared" si="48"/>
        <v>19738093</v>
      </c>
      <c r="R99" s="6"/>
      <c r="S99" s="6"/>
      <c r="T99" s="6"/>
      <c r="U99" s="6"/>
      <c r="V99" s="6"/>
      <c r="W99" s="6"/>
      <c r="X99" s="6"/>
      <c r="Y99" s="6"/>
      <c r="Z99" s="6"/>
      <c r="AA99" s="19">
        <f t="shared" si="49"/>
        <v>19738093</v>
      </c>
      <c r="AB99" s="19">
        <f t="shared" si="50"/>
        <v>21270164</v>
      </c>
      <c r="AC99" s="15">
        <f t="shared" si="45"/>
        <v>5526.15</v>
      </c>
      <c r="AD99" s="15">
        <f t="shared" si="46"/>
        <v>21270151.350000001</v>
      </c>
      <c r="AE99" s="25"/>
      <c r="AF99" s="157">
        <f t="shared" si="43"/>
        <v>-12.65</v>
      </c>
    </row>
    <row r="100" spans="1:32" s="4" customFormat="1" x14ac:dyDescent="0.25">
      <c r="A100" s="65" t="s">
        <v>1435</v>
      </c>
      <c r="B100" s="209" t="s">
        <v>286</v>
      </c>
      <c r="C100" s="12" t="s">
        <v>72</v>
      </c>
      <c r="D100" s="13">
        <v>707</v>
      </c>
      <c r="E100" s="14">
        <f t="shared" si="44"/>
        <v>1268.68</v>
      </c>
      <c r="F100" s="14"/>
      <c r="G100" s="14"/>
      <c r="H100" s="22">
        <v>896953.53</v>
      </c>
      <c r="I100" s="15"/>
      <c r="J100" s="15"/>
      <c r="K100" s="15"/>
      <c r="L100" s="15"/>
      <c r="M100" s="22"/>
      <c r="N100" s="22"/>
      <c r="O100" s="22">
        <f t="shared" si="47"/>
        <v>5473318</v>
      </c>
      <c r="P100" s="19"/>
      <c r="Q100" s="19">
        <f t="shared" si="48"/>
        <v>5473318</v>
      </c>
      <c r="R100" s="6"/>
      <c r="S100" s="6"/>
      <c r="T100" s="6"/>
      <c r="U100" s="6"/>
      <c r="V100" s="6"/>
      <c r="W100" s="6"/>
      <c r="X100" s="6"/>
      <c r="Y100" s="6"/>
      <c r="Z100" s="6"/>
      <c r="AA100" s="19">
        <f t="shared" si="49"/>
        <v>5473318</v>
      </c>
      <c r="AB100" s="19">
        <f t="shared" si="50"/>
        <v>5898157</v>
      </c>
      <c r="AC100" s="15">
        <f t="shared" si="45"/>
        <v>8342.51</v>
      </c>
      <c r="AD100" s="15">
        <f t="shared" si="46"/>
        <v>5898154.5700000003</v>
      </c>
      <c r="AE100" s="25"/>
      <c r="AF100" s="157">
        <f t="shared" si="43"/>
        <v>-2.4300000000000002</v>
      </c>
    </row>
    <row r="101" spans="1:32" s="4" customFormat="1" x14ac:dyDescent="0.25">
      <c r="A101" s="65" t="s">
        <v>1436</v>
      </c>
      <c r="B101" s="209" t="s">
        <v>287</v>
      </c>
      <c r="C101" s="12" t="s">
        <v>72</v>
      </c>
      <c r="D101" s="13">
        <v>707</v>
      </c>
      <c r="E101" s="14">
        <f t="shared" si="44"/>
        <v>897.01</v>
      </c>
      <c r="F101" s="14"/>
      <c r="G101" s="14"/>
      <c r="H101" s="22">
        <v>634187.41</v>
      </c>
      <c r="I101" s="15"/>
      <c r="J101" s="15"/>
      <c r="K101" s="15"/>
      <c r="L101" s="15"/>
      <c r="M101" s="22"/>
      <c r="N101" s="22"/>
      <c r="O101" s="22">
        <f t="shared" si="47"/>
        <v>3869888</v>
      </c>
      <c r="P101" s="19"/>
      <c r="Q101" s="19">
        <f t="shared" si="48"/>
        <v>3869888</v>
      </c>
      <c r="R101" s="6"/>
      <c r="S101" s="6"/>
      <c r="T101" s="6"/>
      <c r="U101" s="6"/>
      <c r="V101" s="6"/>
      <c r="W101" s="6"/>
      <c r="X101" s="6"/>
      <c r="Y101" s="6"/>
      <c r="Z101" s="6"/>
      <c r="AA101" s="19">
        <f t="shared" si="49"/>
        <v>3869888</v>
      </c>
      <c r="AB101" s="19">
        <f t="shared" si="50"/>
        <v>4170269</v>
      </c>
      <c r="AC101" s="15">
        <f t="shared" si="45"/>
        <v>5898.54</v>
      </c>
      <c r="AD101" s="15">
        <f t="shared" si="46"/>
        <v>4170267.78</v>
      </c>
      <c r="AE101" s="25"/>
      <c r="AF101" s="157">
        <f t="shared" si="43"/>
        <v>-1.22</v>
      </c>
    </row>
    <row r="102" spans="1:32" s="4" customFormat="1" x14ac:dyDescent="0.25">
      <c r="A102" s="65" t="s">
        <v>1437</v>
      </c>
      <c r="B102" s="209" t="s">
        <v>288</v>
      </c>
      <c r="C102" s="12" t="s">
        <v>72</v>
      </c>
      <c r="D102" s="13">
        <v>3849</v>
      </c>
      <c r="E102" s="14">
        <f t="shared" si="44"/>
        <v>1701.71</v>
      </c>
      <c r="F102" s="14"/>
      <c r="G102" s="14"/>
      <c r="H102" s="22">
        <v>6549892</v>
      </c>
      <c r="I102" s="15"/>
      <c r="J102" s="15"/>
      <c r="K102" s="15"/>
      <c r="L102" s="15"/>
      <c r="M102" s="22"/>
      <c r="N102" s="22"/>
      <c r="O102" s="22">
        <f t="shared" si="47"/>
        <v>39968227</v>
      </c>
      <c r="P102" s="19"/>
      <c r="Q102" s="19">
        <f t="shared" si="48"/>
        <v>39968227</v>
      </c>
      <c r="R102" s="6"/>
      <c r="S102" s="6"/>
      <c r="T102" s="6"/>
      <c r="U102" s="6"/>
      <c r="V102" s="6"/>
      <c r="W102" s="6"/>
      <c r="X102" s="6"/>
      <c r="Y102" s="6"/>
      <c r="Z102" s="6"/>
      <c r="AA102" s="19">
        <f t="shared" si="49"/>
        <v>39968227</v>
      </c>
      <c r="AB102" s="19">
        <f t="shared" si="50"/>
        <v>43070561</v>
      </c>
      <c r="AC102" s="15">
        <f t="shared" si="45"/>
        <v>11190.07</v>
      </c>
      <c r="AD102" s="15">
        <f t="shared" si="46"/>
        <v>43070579.43</v>
      </c>
      <c r="AE102" s="25"/>
      <c r="AF102" s="157">
        <f t="shared" si="43"/>
        <v>18.43</v>
      </c>
    </row>
    <row r="103" spans="1:32" s="4" customFormat="1" x14ac:dyDescent="0.25">
      <c r="A103" s="65" t="s">
        <v>1438</v>
      </c>
      <c r="B103" s="209" t="s">
        <v>289</v>
      </c>
      <c r="C103" s="12" t="s">
        <v>72</v>
      </c>
      <c r="D103" s="13">
        <v>2135</v>
      </c>
      <c r="E103" s="14">
        <f t="shared" si="44"/>
        <v>1222.8699999999999</v>
      </c>
      <c r="F103" s="14"/>
      <c r="G103" s="14"/>
      <c r="H103" s="22">
        <v>2610824.88</v>
      </c>
      <c r="I103" s="15"/>
      <c r="J103" s="15"/>
      <c r="K103" s="15"/>
      <c r="L103" s="15"/>
      <c r="M103" s="22"/>
      <c r="N103" s="22"/>
      <c r="O103" s="22">
        <f t="shared" si="47"/>
        <v>15931567</v>
      </c>
      <c r="P103" s="19"/>
      <c r="Q103" s="19">
        <f t="shared" si="48"/>
        <v>15931567</v>
      </c>
      <c r="R103" s="6"/>
      <c r="S103" s="6"/>
      <c r="T103" s="6"/>
      <c r="U103" s="6"/>
      <c r="V103" s="6"/>
      <c r="W103" s="6"/>
      <c r="X103" s="6"/>
      <c r="Y103" s="6"/>
      <c r="Z103" s="6"/>
      <c r="AA103" s="19">
        <f t="shared" si="49"/>
        <v>15931567</v>
      </c>
      <c r="AB103" s="19">
        <f t="shared" si="50"/>
        <v>17168175</v>
      </c>
      <c r="AC103" s="15">
        <f t="shared" si="45"/>
        <v>8041.3</v>
      </c>
      <c r="AD103" s="15">
        <f t="shared" si="46"/>
        <v>17168175.5</v>
      </c>
      <c r="AE103" s="25"/>
      <c r="AF103" s="157">
        <f t="shared" si="43"/>
        <v>0.5</v>
      </c>
    </row>
    <row r="104" spans="1:32" s="4" customFormat="1" ht="25.5" x14ac:dyDescent="0.25">
      <c r="A104" s="65" t="s">
        <v>1439</v>
      </c>
      <c r="B104" s="209" t="s">
        <v>290</v>
      </c>
      <c r="C104" s="12" t="s">
        <v>72</v>
      </c>
      <c r="D104" s="13">
        <v>2827</v>
      </c>
      <c r="E104" s="14">
        <f t="shared" si="44"/>
        <v>845.38</v>
      </c>
      <c r="F104" s="14"/>
      <c r="G104" s="14"/>
      <c r="H104" s="22">
        <v>2389898</v>
      </c>
      <c r="I104" s="15"/>
      <c r="J104" s="15"/>
      <c r="K104" s="15"/>
      <c r="L104" s="15"/>
      <c r="M104" s="22"/>
      <c r="N104" s="22"/>
      <c r="O104" s="22">
        <f t="shared" si="47"/>
        <v>14583444</v>
      </c>
      <c r="P104" s="19"/>
      <c r="Q104" s="19">
        <f t="shared" si="48"/>
        <v>14583444</v>
      </c>
      <c r="R104" s="6"/>
      <c r="S104" s="6"/>
      <c r="T104" s="6"/>
      <c r="U104" s="6"/>
      <c r="V104" s="6"/>
      <c r="W104" s="6"/>
      <c r="X104" s="6"/>
      <c r="Y104" s="6"/>
      <c r="Z104" s="6"/>
      <c r="AA104" s="19">
        <f t="shared" si="49"/>
        <v>14583444</v>
      </c>
      <c r="AB104" s="19">
        <f t="shared" si="50"/>
        <v>15715411</v>
      </c>
      <c r="AC104" s="15">
        <f t="shared" si="45"/>
        <v>5559.04</v>
      </c>
      <c r="AD104" s="15">
        <f t="shared" si="46"/>
        <v>15715406.08</v>
      </c>
      <c r="AE104" s="25"/>
      <c r="AF104" s="157">
        <f t="shared" si="43"/>
        <v>-4.92</v>
      </c>
    </row>
    <row r="105" spans="1:32" s="4" customFormat="1" ht="25.5" x14ac:dyDescent="0.25">
      <c r="A105" s="65" t="s">
        <v>1440</v>
      </c>
      <c r="B105" s="209" t="s">
        <v>291</v>
      </c>
      <c r="C105" s="12" t="s">
        <v>72</v>
      </c>
      <c r="D105" s="13">
        <v>1257</v>
      </c>
      <c r="E105" s="14">
        <f t="shared" si="44"/>
        <v>869.18</v>
      </c>
      <c r="F105" s="14"/>
      <c r="G105" s="14"/>
      <c r="H105" s="22">
        <v>1092559.02</v>
      </c>
      <c r="I105" s="15"/>
      <c r="J105" s="15"/>
      <c r="K105" s="15"/>
      <c r="L105" s="15"/>
      <c r="M105" s="22"/>
      <c r="N105" s="22"/>
      <c r="O105" s="22">
        <f t="shared" si="47"/>
        <v>6666926</v>
      </c>
      <c r="P105" s="19"/>
      <c r="Q105" s="19">
        <f t="shared" si="48"/>
        <v>6666926</v>
      </c>
      <c r="R105" s="6"/>
      <c r="S105" s="6"/>
      <c r="T105" s="6"/>
      <c r="U105" s="6"/>
      <c r="V105" s="6"/>
      <c r="W105" s="6"/>
      <c r="X105" s="6"/>
      <c r="Y105" s="6"/>
      <c r="Z105" s="6"/>
      <c r="AA105" s="19">
        <f t="shared" si="49"/>
        <v>6666926</v>
      </c>
      <c r="AB105" s="19">
        <f t="shared" si="50"/>
        <v>7184413</v>
      </c>
      <c r="AC105" s="15">
        <f t="shared" si="45"/>
        <v>5715.52</v>
      </c>
      <c r="AD105" s="15">
        <f t="shared" si="46"/>
        <v>7184408.6399999997</v>
      </c>
      <c r="AE105" s="25"/>
      <c r="AF105" s="157">
        <f t="shared" si="43"/>
        <v>-4.3600000000000003</v>
      </c>
    </row>
    <row r="106" spans="1:32" s="4" customFormat="1" ht="25.5" x14ac:dyDescent="0.25">
      <c r="A106" s="65" t="s">
        <v>1441</v>
      </c>
      <c r="B106" s="209" t="s">
        <v>292</v>
      </c>
      <c r="C106" s="12" t="s">
        <v>72</v>
      </c>
      <c r="D106" s="13">
        <v>2827</v>
      </c>
      <c r="E106" s="14">
        <f t="shared" si="44"/>
        <v>845.38</v>
      </c>
      <c r="F106" s="14"/>
      <c r="G106" s="14"/>
      <c r="H106" s="22">
        <v>2389898</v>
      </c>
      <c r="I106" s="15"/>
      <c r="J106" s="15"/>
      <c r="K106" s="15"/>
      <c r="L106" s="15"/>
      <c r="M106" s="22"/>
      <c r="N106" s="22"/>
      <c r="O106" s="22">
        <f t="shared" si="47"/>
        <v>14583444</v>
      </c>
      <c r="P106" s="19"/>
      <c r="Q106" s="19">
        <f t="shared" si="48"/>
        <v>14583444</v>
      </c>
      <c r="R106" s="6"/>
      <c r="S106" s="6"/>
      <c r="T106" s="6"/>
      <c r="U106" s="6"/>
      <c r="V106" s="6"/>
      <c r="W106" s="6"/>
      <c r="X106" s="6"/>
      <c r="Y106" s="6"/>
      <c r="Z106" s="6"/>
      <c r="AA106" s="19">
        <f t="shared" si="49"/>
        <v>14583444</v>
      </c>
      <c r="AB106" s="19">
        <f t="shared" si="50"/>
        <v>15715411</v>
      </c>
      <c r="AC106" s="15">
        <f t="shared" si="45"/>
        <v>5559.04</v>
      </c>
      <c r="AD106" s="15">
        <f t="shared" si="46"/>
        <v>15715406.08</v>
      </c>
      <c r="AE106" s="25"/>
      <c r="AF106" s="157">
        <f t="shared" si="43"/>
        <v>-4.92</v>
      </c>
    </row>
    <row r="107" spans="1:32" s="4" customFormat="1" ht="25.5" x14ac:dyDescent="0.25">
      <c r="A107" s="65" t="s">
        <v>1442</v>
      </c>
      <c r="B107" s="209" t="s">
        <v>293</v>
      </c>
      <c r="C107" s="12" t="s">
        <v>72</v>
      </c>
      <c r="D107" s="13">
        <v>2463</v>
      </c>
      <c r="E107" s="14">
        <f t="shared" si="44"/>
        <v>848.01</v>
      </c>
      <c r="F107" s="14"/>
      <c r="G107" s="14"/>
      <c r="H107" s="22">
        <v>2088639.23</v>
      </c>
      <c r="I107" s="15"/>
      <c r="J107" s="15"/>
      <c r="K107" s="15"/>
      <c r="L107" s="15"/>
      <c r="M107" s="22"/>
      <c r="N107" s="22"/>
      <c r="O107" s="22">
        <f t="shared" si="47"/>
        <v>12745127</v>
      </c>
      <c r="P107" s="19"/>
      <c r="Q107" s="19">
        <f t="shared" si="48"/>
        <v>12745127</v>
      </c>
      <c r="R107" s="6"/>
      <c r="S107" s="6"/>
      <c r="T107" s="6"/>
      <c r="U107" s="6"/>
      <c r="V107" s="6"/>
      <c r="W107" s="6"/>
      <c r="X107" s="6"/>
      <c r="Y107" s="6"/>
      <c r="Z107" s="6"/>
      <c r="AA107" s="19">
        <f t="shared" si="49"/>
        <v>12745127</v>
      </c>
      <c r="AB107" s="19">
        <f t="shared" si="50"/>
        <v>13734404</v>
      </c>
      <c r="AC107" s="15">
        <f t="shared" si="45"/>
        <v>5576.29</v>
      </c>
      <c r="AD107" s="15">
        <f t="shared" si="46"/>
        <v>13734402.27</v>
      </c>
      <c r="AE107" s="25"/>
      <c r="AF107" s="157">
        <f t="shared" si="43"/>
        <v>-1.73</v>
      </c>
    </row>
    <row r="108" spans="1:32" s="4" customFormat="1" x14ac:dyDescent="0.25">
      <c r="A108" s="65" t="s">
        <v>1443</v>
      </c>
      <c r="B108" s="209" t="s">
        <v>294</v>
      </c>
      <c r="C108" s="12" t="s">
        <v>72</v>
      </c>
      <c r="D108" s="13">
        <v>707</v>
      </c>
      <c r="E108" s="14">
        <f t="shared" si="44"/>
        <v>897.01</v>
      </c>
      <c r="F108" s="14"/>
      <c r="G108" s="14"/>
      <c r="H108" s="22">
        <v>634187.41</v>
      </c>
      <c r="I108" s="15"/>
      <c r="J108" s="15"/>
      <c r="K108" s="15"/>
      <c r="L108" s="15"/>
      <c r="M108" s="22"/>
      <c r="N108" s="22"/>
      <c r="O108" s="22">
        <f t="shared" si="47"/>
        <v>3869888</v>
      </c>
      <c r="P108" s="19"/>
      <c r="Q108" s="19">
        <f t="shared" si="48"/>
        <v>3869888</v>
      </c>
      <c r="R108" s="6"/>
      <c r="S108" s="6"/>
      <c r="T108" s="6"/>
      <c r="U108" s="6"/>
      <c r="V108" s="6"/>
      <c r="W108" s="6"/>
      <c r="X108" s="6"/>
      <c r="Y108" s="6"/>
      <c r="Z108" s="6"/>
      <c r="AA108" s="19">
        <f t="shared" si="49"/>
        <v>3869888</v>
      </c>
      <c r="AB108" s="19">
        <f t="shared" si="50"/>
        <v>4170269</v>
      </c>
      <c r="AC108" s="15">
        <f t="shared" si="45"/>
        <v>5898.54</v>
      </c>
      <c r="AD108" s="15">
        <f t="shared" si="46"/>
        <v>4170267.78</v>
      </c>
      <c r="AE108" s="25"/>
      <c r="AF108" s="157">
        <f t="shared" si="43"/>
        <v>-1.22</v>
      </c>
    </row>
    <row r="109" spans="1:32" s="4" customFormat="1" x14ac:dyDescent="0.25">
      <c r="A109" s="65" t="s">
        <v>1444</v>
      </c>
      <c r="B109" s="209" t="s">
        <v>295</v>
      </c>
      <c r="C109" s="12" t="s">
        <v>72</v>
      </c>
      <c r="D109" s="13">
        <v>92</v>
      </c>
      <c r="E109" s="14">
        <f t="shared" si="44"/>
        <v>1394.3</v>
      </c>
      <c r="F109" s="14"/>
      <c r="G109" s="14"/>
      <c r="H109" s="22">
        <v>128275.35</v>
      </c>
      <c r="I109" s="15"/>
      <c r="J109" s="15"/>
      <c r="K109" s="15"/>
      <c r="L109" s="15"/>
      <c r="M109" s="22"/>
      <c r="N109" s="22"/>
      <c r="O109" s="22">
        <f t="shared" si="47"/>
        <v>782752</v>
      </c>
      <c r="P109" s="19"/>
      <c r="Q109" s="19">
        <f t="shared" si="48"/>
        <v>782752</v>
      </c>
      <c r="R109" s="6"/>
      <c r="S109" s="6"/>
      <c r="T109" s="6"/>
      <c r="U109" s="6"/>
      <c r="V109" s="6"/>
      <c r="W109" s="6"/>
      <c r="X109" s="6"/>
      <c r="Y109" s="6"/>
      <c r="Z109" s="6"/>
      <c r="AA109" s="19">
        <f t="shared" si="49"/>
        <v>782752</v>
      </c>
      <c r="AB109" s="19">
        <f t="shared" si="50"/>
        <v>843509</v>
      </c>
      <c r="AC109" s="15">
        <f t="shared" si="45"/>
        <v>9168.58</v>
      </c>
      <c r="AD109" s="15">
        <f t="shared" si="46"/>
        <v>843509.36</v>
      </c>
      <c r="AE109" s="25"/>
      <c r="AF109" s="157">
        <f t="shared" si="43"/>
        <v>0.36</v>
      </c>
    </row>
    <row r="110" spans="1:32" s="4" customFormat="1" x14ac:dyDescent="0.25">
      <c r="A110" s="65" t="s">
        <v>1445</v>
      </c>
      <c r="B110" s="209" t="s">
        <v>296</v>
      </c>
      <c r="C110" s="12" t="s">
        <v>72</v>
      </c>
      <c r="D110" s="13">
        <v>804</v>
      </c>
      <c r="E110" s="14">
        <f t="shared" si="44"/>
        <v>891.42</v>
      </c>
      <c r="F110" s="14"/>
      <c r="G110" s="14"/>
      <c r="H110" s="22">
        <v>716705.31</v>
      </c>
      <c r="I110" s="15"/>
      <c r="J110" s="15"/>
      <c r="K110" s="15"/>
      <c r="L110" s="15"/>
      <c r="M110" s="22"/>
      <c r="N110" s="22"/>
      <c r="O110" s="22">
        <f t="shared" si="47"/>
        <v>4373422</v>
      </c>
      <c r="P110" s="19"/>
      <c r="Q110" s="19">
        <f t="shared" si="48"/>
        <v>4373422</v>
      </c>
      <c r="R110" s="6"/>
      <c r="S110" s="6"/>
      <c r="T110" s="6"/>
      <c r="U110" s="6"/>
      <c r="V110" s="6"/>
      <c r="W110" s="6"/>
      <c r="X110" s="6"/>
      <c r="Y110" s="6"/>
      <c r="Z110" s="6"/>
      <c r="AA110" s="19">
        <f t="shared" si="49"/>
        <v>4373422</v>
      </c>
      <c r="AB110" s="19">
        <f t="shared" si="50"/>
        <v>4712887</v>
      </c>
      <c r="AC110" s="15">
        <f t="shared" si="45"/>
        <v>5861.8</v>
      </c>
      <c r="AD110" s="15">
        <f t="shared" si="46"/>
        <v>4712887.2</v>
      </c>
      <c r="AE110" s="25"/>
      <c r="AF110" s="157">
        <f t="shared" si="43"/>
        <v>0.2</v>
      </c>
    </row>
    <row r="111" spans="1:32" s="4" customFormat="1" x14ac:dyDescent="0.25">
      <c r="A111" s="65" t="s">
        <v>1446</v>
      </c>
      <c r="B111" s="209" t="s">
        <v>297</v>
      </c>
      <c r="C111" s="12" t="s">
        <v>72</v>
      </c>
      <c r="D111" s="13">
        <v>452</v>
      </c>
      <c r="E111" s="14">
        <f t="shared" si="44"/>
        <v>944.61</v>
      </c>
      <c r="F111" s="14"/>
      <c r="G111" s="14"/>
      <c r="H111" s="22">
        <v>426962.02</v>
      </c>
      <c r="I111" s="15"/>
      <c r="J111" s="15"/>
      <c r="K111" s="15"/>
      <c r="L111" s="15"/>
      <c r="M111" s="22"/>
      <c r="N111" s="22"/>
      <c r="O111" s="22">
        <f t="shared" si="47"/>
        <v>2605373</v>
      </c>
      <c r="P111" s="19"/>
      <c r="Q111" s="19">
        <f t="shared" si="48"/>
        <v>2605373</v>
      </c>
      <c r="R111" s="6"/>
      <c r="S111" s="6"/>
      <c r="T111" s="6"/>
      <c r="U111" s="6"/>
      <c r="V111" s="6"/>
      <c r="W111" s="6"/>
      <c r="X111" s="6"/>
      <c r="Y111" s="6"/>
      <c r="Z111" s="6"/>
      <c r="AA111" s="19">
        <f t="shared" si="49"/>
        <v>2605373</v>
      </c>
      <c r="AB111" s="19">
        <f t="shared" si="50"/>
        <v>2807602</v>
      </c>
      <c r="AC111" s="15">
        <f t="shared" si="45"/>
        <v>6211.51</v>
      </c>
      <c r="AD111" s="15">
        <f t="shared" si="46"/>
        <v>2807602.52</v>
      </c>
      <c r="AE111" s="25"/>
      <c r="AF111" s="157">
        <f t="shared" si="43"/>
        <v>0.52</v>
      </c>
    </row>
    <row r="112" spans="1:32" s="4" customFormat="1" x14ac:dyDescent="0.25">
      <c r="A112" s="65" t="s">
        <v>1447</v>
      </c>
      <c r="B112" s="209" t="s">
        <v>298</v>
      </c>
      <c r="C112" s="12" t="s">
        <v>72</v>
      </c>
      <c r="D112" s="13">
        <v>223</v>
      </c>
      <c r="E112" s="14">
        <f t="shared" si="44"/>
        <v>1039.8599999999999</v>
      </c>
      <c r="F112" s="14"/>
      <c r="G112" s="14"/>
      <c r="H112" s="22">
        <v>231888.04</v>
      </c>
      <c r="I112" s="15"/>
      <c r="J112" s="15"/>
      <c r="K112" s="15"/>
      <c r="L112" s="15"/>
      <c r="M112" s="22"/>
      <c r="N112" s="22"/>
      <c r="O112" s="22">
        <f t="shared" si="47"/>
        <v>1415009</v>
      </c>
      <c r="P112" s="19"/>
      <c r="Q112" s="19">
        <f t="shared" si="48"/>
        <v>1415009</v>
      </c>
      <c r="R112" s="6"/>
      <c r="S112" s="6"/>
      <c r="T112" s="6"/>
      <c r="U112" s="6"/>
      <c r="V112" s="6"/>
      <c r="W112" s="6"/>
      <c r="X112" s="6"/>
      <c r="Y112" s="6"/>
      <c r="Z112" s="6"/>
      <c r="AA112" s="19">
        <f t="shared" si="49"/>
        <v>1415009</v>
      </c>
      <c r="AB112" s="19">
        <f t="shared" si="50"/>
        <v>1524842</v>
      </c>
      <c r="AC112" s="15">
        <f t="shared" si="45"/>
        <v>6837.86</v>
      </c>
      <c r="AD112" s="15">
        <f t="shared" si="46"/>
        <v>1524842.78</v>
      </c>
      <c r="AE112" s="25"/>
      <c r="AF112" s="157">
        <f t="shared" si="43"/>
        <v>0.78</v>
      </c>
    </row>
    <row r="113" spans="1:32" s="4" customFormat="1" x14ac:dyDescent="0.25">
      <c r="A113" s="65" t="s">
        <v>1448</v>
      </c>
      <c r="B113" s="209" t="s">
        <v>299</v>
      </c>
      <c r="C113" s="12" t="s">
        <v>72</v>
      </c>
      <c r="D113" s="13">
        <v>1040</v>
      </c>
      <c r="E113" s="14">
        <f t="shared" si="44"/>
        <v>876.03</v>
      </c>
      <c r="F113" s="14"/>
      <c r="G113" s="14"/>
      <c r="H113" s="22">
        <v>911068.02</v>
      </c>
      <c r="I113" s="15"/>
      <c r="J113" s="15"/>
      <c r="K113" s="15"/>
      <c r="L113" s="15"/>
      <c r="M113" s="22"/>
      <c r="N113" s="22"/>
      <c r="O113" s="22">
        <f t="shared" si="47"/>
        <v>5559446</v>
      </c>
      <c r="P113" s="19"/>
      <c r="Q113" s="19">
        <f t="shared" si="48"/>
        <v>5559446</v>
      </c>
      <c r="R113" s="6"/>
      <c r="S113" s="6"/>
      <c r="T113" s="6"/>
      <c r="U113" s="6"/>
      <c r="V113" s="6"/>
      <c r="W113" s="6"/>
      <c r="X113" s="6"/>
      <c r="Y113" s="6"/>
      <c r="Z113" s="6"/>
      <c r="AA113" s="19">
        <f t="shared" si="49"/>
        <v>5559446</v>
      </c>
      <c r="AB113" s="19">
        <f t="shared" si="50"/>
        <v>5990970</v>
      </c>
      <c r="AC113" s="15">
        <f t="shared" si="45"/>
        <v>5760.55</v>
      </c>
      <c r="AD113" s="15">
        <f t="shared" si="46"/>
        <v>5990972</v>
      </c>
      <c r="AE113" s="25"/>
      <c r="AF113" s="157">
        <f t="shared" si="43"/>
        <v>2</v>
      </c>
    </row>
    <row r="114" spans="1:32" s="4" customFormat="1" x14ac:dyDescent="0.25">
      <c r="A114" s="65" t="s">
        <v>1449</v>
      </c>
      <c r="B114" s="209" t="s">
        <v>300</v>
      </c>
      <c r="C114" s="12" t="s">
        <v>72</v>
      </c>
      <c r="D114" s="13">
        <v>1770</v>
      </c>
      <c r="E114" s="14">
        <f t="shared" si="44"/>
        <v>523.64</v>
      </c>
      <c r="F114" s="14"/>
      <c r="G114" s="14"/>
      <c r="H114" s="22">
        <v>926851.6</v>
      </c>
      <c r="I114" s="15"/>
      <c r="J114" s="15"/>
      <c r="K114" s="15"/>
      <c r="L114" s="15"/>
      <c r="M114" s="22"/>
      <c r="N114" s="22"/>
      <c r="O114" s="22">
        <f t="shared" si="47"/>
        <v>5655760</v>
      </c>
      <c r="P114" s="19"/>
      <c r="Q114" s="19">
        <f t="shared" si="48"/>
        <v>5655760</v>
      </c>
      <c r="R114" s="6"/>
      <c r="S114" s="6"/>
      <c r="T114" s="6"/>
      <c r="U114" s="6"/>
      <c r="V114" s="6"/>
      <c r="W114" s="6"/>
      <c r="X114" s="6"/>
      <c r="Y114" s="6"/>
      <c r="Z114" s="6"/>
      <c r="AA114" s="19">
        <f t="shared" si="49"/>
        <v>5655760</v>
      </c>
      <c r="AB114" s="19">
        <f t="shared" si="50"/>
        <v>6094760</v>
      </c>
      <c r="AC114" s="15">
        <f t="shared" si="45"/>
        <v>3443.37</v>
      </c>
      <c r="AD114" s="15">
        <f t="shared" si="46"/>
        <v>6094764.9000000004</v>
      </c>
      <c r="AE114" s="25"/>
      <c r="AF114" s="157">
        <f t="shared" si="43"/>
        <v>4.9000000000000004</v>
      </c>
    </row>
    <row r="115" spans="1:32" s="91" customFormat="1" ht="25.5" x14ac:dyDescent="0.25">
      <c r="A115" s="100" t="s">
        <v>96</v>
      </c>
      <c r="B115" s="101" t="s">
        <v>101</v>
      </c>
      <c r="C115" s="92"/>
      <c r="D115" s="93"/>
      <c r="E115" s="94"/>
      <c r="F115" s="94"/>
      <c r="G115" s="94"/>
      <c r="H115" s="41">
        <v>3944060</v>
      </c>
      <c r="I115" s="20"/>
      <c r="J115" s="20">
        <f>3944.06*1000</f>
        <v>3944060</v>
      </c>
      <c r="K115" s="89" t="s">
        <v>262</v>
      </c>
      <c r="L115" s="20">
        <f>H115-J115</f>
        <v>0</v>
      </c>
      <c r="M115" s="95">
        <v>58450940</v>
      </c>
      <c r="N115" s="50">
        <f>O116-M115</f>
        <v>29</v>
      </c>
      <c r="O115" s="95"/>
      <c r="P115" s="50"/>
      <c r="Q115" s="50"/>
      <c r="R115" s="30"/>
      <c r="S115" s="30"/>
      <c r="T115" s="30"/>
      <c r="U115" s="30"/>
      <c r="V115" s="30"/>
      <c r="W115" s="30"/>
      <c r="X115" s="30"/>
      <c r="Y115" s="30"/>
      <c r="Z115" s="30"/>
      <c r="AA115" s="50"/>
      <c r="AB115" s="50"/>
      <c r="AC115" s="20"/>
      <c r="AD115" s="20"/>
      <c r="AE115" s="97"/>
      <c r="AF115" s="157">
        <f t="shared" si="43"/>
        <v>0</v>
      </c>
    </row>
    <row r="116" spans="1:32" s="4" customFormat="1" ht="25.5" x14ac:dyDescent="0.25">
      <c r="A116" s="64" t="s">
        <v>98</v>
      </c>
      <c r="B116" s="55" t="s">
        <v>103</v>
      </c>
      <c r="C116" s="24" t="s">
        <v>83</v>
      </c>
      <c r="D116" s="28">
        <v>1</v>
      </c>
      <c r="E116" s="14">
        <f>H116/D116</f>
        <v>3944060</v>
      </c>
      <c r="F116" s="14"/>
      <c r="G116" s="14"/>
      <c r="H116" s="22">
        <v>3944060</v>
      </c>
      <c r="I116" s="15"/>
      <c r="J116" s="15"/>
      <c r="K116" s="13"/>
      <c r="L116" s="15"/>
      <c r="M116" s="22"/>
      <c r="N116" s="22"/>
      <c r="O116" s="22">
        <f>H116*14.82</f>
        <v>58450969</v>
      </c>
      <c r="P116" s="19"/>
      <c r="Q116" s="19">
        <f>SUM(O116:P116)</f>
        <v>58450969</v>
      </c>
      <c r="R116" s="6"/>
      <c r="S116" s="6"/>
      <c r="T116" s="6"/>
      <c r="U116" s="6"/>
      <c r="V116" s="6"/>
      <c r="W116" s="6"/>
      <c r="X116" s="6"/>
      <c r="Y116" s="6"/>
      <c r="Z116" s="6"/>
      <c r="AA116" s="19">
        <f>SUM(Q116:Z116)</f>
        <v>58450969</v>
      </c>
      <c r="AB116" s="19">
        <f>$AA116*AB$7</f>
        <v>62987933</v>
      </c>
      <c r="AC116" s="15">
        <f>AB116/D116</f>
        <v>62987933</v>
      </c>
      <c r="AD116" s="15">
        <f>AC116*D116</f>
        <v>62987933</v>
      </c>
      <c r="AE116" s="25"/>
      <c r="AF116" s="157">
        <f t="shared" si="43"/>
        <v>0</v>
      </c>
    </row>
    <row r="117" spans="1:32" s="91" customFormat="1" x14ac:dyDescent="0.25">
      <c r="A117" s="100" t="s">
        <v>100</v>
      </c>
      <c r="B117" s="101" t="s">
        <v>73</v>
      </c>
      <c r="C117" s="92"/>
      <c r="D117" s="93"/>
      <c r="E117" s="94"/>
      <c r="F117" s="94"/>
      <c r="G117" s="94"/>
      <c r="H117" s="99">
        <v>4516260</v>
      </c>
      <c r="I117" s="20"/>
      <c r="J117" s="20">
        <f>4516.26*1000</f>
        <v>4516260</v>
      </c>
      <c r="K117" s="102" t="s">
        <v>92</v>
      </c>
      <c r="L117" s="20">
        <f>H117-J117</f>
        <v>0</v>
      </c>
      <c r="M117" s="95">
        <v>41188300</v>
      </c>
      <c r="N117" s="50">
        <f>SUM(O119:O125)-M117</f>
        <v>-10</v>
      </c>
      <c r="O117" s="95"/>
      <c r="P117" s="50"/>
      <c r="Q117" s="50"/>
      <c r="R117" s="50"/>
      <c r="S117" s="30"/>
      <c r="T117" s="30"/>
      <c r="U117" s="126"/>
      <c r="V117" s="126"/>
      <c r="W117" s="50"/>
      <c r="X117" s="30"/>
      <c r="Y117" s="30"/>
      <c r="Z117" s="30"/>
      <c r="AA117" s="50"/>
      <c r="AB117" s="50"/>
      <c r="AC117" s="20"/>
      <c r="AD117" s="20"/>
      <c r="AE117" s="97"/>
      <c r="AF117" s="157">
        <f t="shared" ref="AF117:AF131" si="51">AD117-AB117</f>
        <v>0</v>
      </c>
    </row>
    <row r="118" spans="1:32" s="4" customFormat="1" x14ac:dyDescent="0.25">
      <c r="A118" s="27" t="s">
        <v>102</v>
      </c>
      <c r="B118" s="26" t="s">
        <v>75</v>
      </c>
      <c r="C118" s="24"/>
      <c r="D118" s="210"/>
      <c r="E118" s="14"/>
      <c r="F118" s="14"/>
      <c r="G118" s="14"/>
      <c r="H118" s="22"/>
      <c r="I118" s="15"/>
      <c r="J118" s="15"/>
      <c r="K118" s="15"/>
      <c r="L118" s="15"/>
      <c r="M118" s="22"/>
      <c r="N118" s="22"/>
      <c r="O118" s="22"/>
      <c r="P118" s="19"/>
      <c r="Q118" s="19"/>
      <c r="R118" s="6"/>
      <c r="S118" s="6"/>
      <c r="T118" s="6"/>
      <c r="U118" s="121"/>
      <c r="V118" s="121"/>
      <c r="W118" s="6"/>
      <c r="X118" s="6"/>
      <c r="Y118" s="6"/>
      <c r="Z118" s="6"/>
      <c r="AA118" s="19"/>
      <c r="AB118" s="19"/>
      <c r="AC118" s="15"/>
      <c r="AD118" s="15"/>
      <c r="AE118" s="25"/>
      <c r="AF118" s="157">
        <f t="shared" si="51"/>
        <v>0</v>
      </c>
    </row>
    <row r="119" spans="1:32" s="4" customFormat="1" x14ac:dyDescent="0.25">
      <c r="A119" s="65" t="s">
        <v>371</v>
      </c>
      <c r="B119" s="55" t="s">
        <v>4</v>
      </c>
      <c r="C119" s="24" t="s">
        <v>70</v>
      </c>
      <c r="D119" s="28">
        <f>4319.6</f>
        <v>4319.6000000000004</v>
      </c>
      <c r="E119" s="14">
        <f>H119/D119</f>
        <v>154.99</v>
      </c>
      <c r="F119" s="14"/>
      <c r="G119" s="14"/>
      <c r="H119" s="22">
        <v>669476</v>
      </c>
      <c r="I119" s="15"/>
      <c r="J119" s="15"/>
      <c r="K119" s="15"/>
      <c r="L119" s="15"/>
      <c r="M119" s="22"/>
      <c r="N119" s="22"/>
      <c r="O119" s="22">
        <f>H119*9.12</f>
        <v>6105621</v>
      </c>
      <c r="P119" s="19">
        <f>O119*4.1%</f>
        <v>250330</v>
      </c>
      <c r="Q119" s="19">
        <f>SUM(O119:P119)</f>
        <v>6355951</v>
      </c>
      <c r="R119" s="6">
        <f>Q119*0.35%</f>
        <v>22246</v>
      </c>
      <c r="S119" s="6"/>
      <c r="T119" s="6"/>
      <c r="U119" s="121">
        <f>Q119*$U$4</f>
        <v>31001</v>
      </c>
      <c r="V119" s="121">
        <f>Q119*$V$4</f>
        <v>7115</v>
      </c>
      <c r="W119" s="6"/>
      <c r="X119" s="6"/>
      <c r="Y119" s="6"/>
      <c r="Z119" s="6"/>
      <c r="AA119" s="19">
        <f>SUM(Q119:Z119)</f>
        <v>6416313</v>
      </c>
      <c r="AB119" s="19">
        <f>$AA119*AB$7</f>
        <v>6914347</v>
      </c>
      <c r="AC119" s="15">
        <f>AB119/D119</f>
        <v>1600.69</v>
      </c>
      <c r="AD119" s="15">
        <f>AC119*D119</f>
        <v>6914340.5199999996</v>
      </c>
      <c r="AE119" s="25"/>
      <c r="AF119" s="157">
        <f t="shared" si="51"/>
        <v>-6.48</v>
      </c>
    </row>
    <row r="120" spans="1:32" s="4" customFormat="1" x14ac:dyDescent="0.25">
      <c r="A120" s="65" t="s">
        <v>372</v>
      </c>
      <c r="B120" s="55" t="s">
        <v>377</v>
      </c>
      <c r="C120" s="24" t="s">
        <v>72</v>
      </c>
      <c r="D120" s="28">
        <f>8977.3</f>
        <v>8977.2999999999993</v>
      </c>
      <c r="E120" s="14">
        <f>H120/D120</f>
        <v>385.95</v>
      </c>
      <c r="F120" s="14"/>
      <c r="G120" s="14"/>
      <c r="H120" s="22">
        <v>3464809</v>
      </c>
      <c r="I120" s="15"/>
      <c r="J120" s="15"/>
      <c r="K120" s="15"/>
      <c r="L120" s="15"/>
      <c r="M120" s="22"/>
      <c r="N120" s="22"/>
      <c r="O120" s="22">
        <f>H120*9.12</f>
        <v>31599058</v>
      </c>
      <c r="P120" s="19">
        <f>O120*4.1%</f>
        <v>1295561</v>
      </c>
      <c r="Q120" s="19">
        <f>SUM(O120:P120)</f>
        <v>32894619</v>
      </c>
      <c r="R120" s="6">
        <f>Q120*0.35%</f>
        <v>115131</v>
      </c>
      <c r="S120" s="6"/>
      <c r="T120" s="6"/>
      <c r="U120" s="121">
        <f>Q120*$U$4</f>
        <v>160441</v>
      </c>
      <c r="V120" s="121">
        <f>Q120*$V$4</f>
        <v>36824</v>
      </c>
      <c r="W120" s="6"/>
      <c r="X120" s="6"/>
      <c r="Y120" s="6"/>
      <c r="Z120" s="6"/>
      <c r="AA120" s="19">
        <f>SUM(Q120:Z120)</f>
        <v>33207015</v>
      </c>
      <c r="AB120" s="19">
        <f>$AA120*AB$7</f>
        <v>35784544</v>
      </c>
      <c r="AC120" s="15">
        <f>AB120/D120</f>
        <v>3986.11</v>
      </c>
      <c r="AD120" s="15">
        <f>AC120*D120</f>
        <v>35784505.299999997</v>
      </c>
      <c r="AE120" s="25"/>
      <c r="AF120" s="157">
        <f t="shared" si="51"/>
        <v>-38.700000000000003</v>
      </c>
    </row>
    <row r="121" spans="1:32" s="4" customFormat="1" x14ac:dyDescent="0.25">
      <c r="A121" s="65" t="s">
        <v>373</v>
      </c>
      <c r="B121" s="55" t="s">
        <v>378</v>
      </c>
      <c r="C121" s="24" t="s">
        <v>70</v>
      </c>
      <c r="D121" s="28">
        <f>36.7</f>
        <v>36.700000000000003</v>
      </c>
      <c r="E121" s="14">
        <f>H121/D121</f>
        <v>258.58</v>
      </c>
      <c r="F121" s="14"/>
      <c r="G121" s="14"/>
      <c r="H121" s="22">
        <v>9490</v>
      </c>
      <c r="I121" s="15"/>
      <c r="J121" s="15"/>
      <c r="K121" s="15"/>
      <c r="L121" s="15"/>
      <c r="M121" s="22"/>
      <c r="N121" s="22"/>
      <c r="O121" s="22">
        <f>H121*9.12</f>
        <v>86549</v>
      </c>
      <c r="P121" s="19">
        <f>O121*4.1%</f>
        <v>3549</v>
      </c>
      <c r="Q121" s="19">
        <f>SUM(O121:P121)</f>
        <v>90098</v>
      </c>
      <c r="R121" s="6">
        <f>Q121*0.35%</f>
        <v>315</v>
      </c>
      <c r="S121" s="6"/>
      <c r="T121" s="6"/>
      <c r="U121" s="121">
        <f>Q121*$U$4</f>
        <v>439</v>
      </c>
      <c r="V121" s="121">
        <f>Q121*$V$4</f>
        <v>101</v>
      </c>
      <c r="W121" s="6"/>
      <c r="X121" s="6"/>
      <c r="Y121" s="6"/>
      <c r="Z121" s="6"/>
      <c r="AA121" s="19">
        <f>SUM(Q121:Z121)</f>
        <v>90953</v>
      </c>
      <c r="AB121" s="19">
        <f>$AA121*AB$7</f>
        <v>98013</v>
      </c>
      <c r="AC121" s="15">
        <f>AB121/D121</f>
        <v>2670.65</v>
      </c>
      <c r="AD121" s="15">
        <f>AC121*D121</f>
        <v>98012.86</v>
      </c>
      <c r="AE121" s="25"/>
      <c r="AF121" s="157">
        <f t="shared" si="51"/>
        <v>-0.14000000000000001</v>
      </c>
    </row>
    <row r="122" spans="1:32" s="4" customFormat="1" x14ac:dyDescent="0.25">
      <c r="A122" s="27" t="s">
        <v>1450</v>
      </c>
      <c r="B122" s="26" t="s">
        <v>76</v>
      </c>
      <c r="C122" s="24"/>
      <c r="D122" s="28"/>
      <c r="E122" s="14"/>
      <c r="F122" s="14"/>
      <c r="G122" s="14"/>
      <c r="H122" s="22"/>
      <c r="I122" s="15"/>
      <c r="J122" s="15"/>
      <c r="K122" s="15"/>
      <c r="L122" s="15"/>
      <c r="M122" s="22"/>
      <c r="N122" s="22"/>
      <c r="O122" s="22"/>
      <c r="P122" s="19"/>
      <c r="Q122" s="19"/>
      <c r="R122" s="6"/>
      <c r="S122" s="6"/>
      <c r="T122" s="6"/>
      <c r="U122" s="121"/>
      <c r="V122" s="121"/>
      <c r="W122" s="6"/>
      <c r="X122" s="6"/>
      <c r="Y122" s="6"/>
      <c r="Z122" s="6"/>
      <c r="AA122" s="19"/>
      <c r="AB122" s="19"/>
      <c r="AC122" s="15"/>
      <c r="AD122" s="15"/>
      <c r="AE122" s="25"/>
      <c r="AF122" s="157">
        <f t="shared" si="51"/>
        <v>0</v>
      </c>
    </row>
    <row r="123" spans="1:32" s="4" customFormat="1" x14ac:dyDescent="0.25">
      <c r="A123" s="65" t="s">
        <v>1451</v>
      </c>
      <c r="B123" s="55" t="s">
        <v>77</v>
      </c>
      <c r="C123" s="24" t="s">
        <v>70</v>
      </c>
      <c r="D123" s="28">
        <f>4319.6</f>
        <v>4319.6000000000004</v>
      </c>
      <c r="E123" s="14">
        <f>H123/D123</f>
        <v>4.7</v>
      </c>
      <c r="F123" s="14"/>
      <c r="G123" s="14"/>
      <c r="H123" s="22">
        <v>20311</v>
      </c>
      <c r="I123" s="15"/>
      <c r="J123" s="15"/>
      <c r="K123" s="15"/>
      <c r="L123" s="15"/>
      <c r="M123" s="22"/>
      <c r="N123" s="22"/>
      <c r="O123" s="22">
        <f>H123*9.12</f>
        <v>185236</v>
      </c>
      <c r="P123" s="19">
        <f>O123*4.1%</f>
        <v>7595</v>
      </c>
      <c r="Q123" s="19">
        <f>SUM(O123:P123)</f>
        <v>192831</v>
      </c>
      <c r="R123" s="6">
        <f>Q123*0.35%</f>
        <v>675</v>
      </c>
      <c r="S123" s="6"/>
      <c r="T123" s="6"/>
      <c r="U123" s="121">
        <f>Q123*$U$4</f>
        <v>941</v>
      </c>
      <c r="V123" s="121">
        <f>Q123*$V$4</f>
        <v>216</v>
      </c>
      <c r="W123" s="6"/>
      <c r="X123" s="6"/>
      <c r="Y123" s="6"/>
      <c r="Z123" s="6"/>
      <c r="AA123" s="19">
        <f>SUM(Q123:Z123)</f>
        <v>194663</v>
      </c>
      <c r="AB123" s="19">
        <f>$AA123*AB$7</f>
        <v>209773</v>
      </c>
      <c r="AC123" s="15">
        <f>AB123/D123</f>
        <v>48.56</v>
      </c>
      <c r="AD123" s="15">
        <f>AC123*D123</f>
        <v>209759.78</v>
      </c>
      <c r="AE123" s="25"/>
      <c r="AF123" s="157">
        <f t="shared" si="51"/>
        <v>-13.22</v>
      </c>
    </row>
    <row r="124" spans="1:32" s="4" customFormat="1" x14ac:dyDescent="0.25">
      <c r="A124" s="65" t="s">
        <v>1452</v>
      </c>
      <c r="B124" s="55" t="s">
        <v>379</v>
      </c>
      <c r="C124" s="24" t="s">
        <v>70</v>
      </c>
      <c r="D124" s="28">
        <f>8977.3</f>
        <v>8977.2999999999993</v>
      </c>
      <c r="E124" s="14">
        <f>H124/D124</f>
        <v>38.69</v>
      </c>
      <c r="F124" s="14"/>
      <c r="G124" s="14"/>
      <c r="H124" s="22">
        <v>347320</v>
      </c>
      <c r="I124" s="15"/>
      <c r="J124" s="15"/>
      <c r="K124" s="15"/>
      <c r="L124" s="15"/>
      <c r="M124" s="22"/>
      <c r="N124" s="22"/>
      <c r="O124" s="22">
        <f>H124*9.12</f>
        <v>3167558</v>
      </c>
      <c r="P124" s="19">
        <f>O124*4.1%</f>
        <v>129870</v>
      </c>
      <c r="Q124" s="19">
        <f>SUM(O124:P124)</f>
        <v>3297428</v>
      </c>
      <c r="R124" s="6">
        <f>Q124*0.35%</f>
        <v>11541</v>
      </c>
      <c r="S124" s="6"/>
      <c r="T124" s="6"/>
      <c r="U124" s="121">
        <f>Q124*$U$4</f>
        <v>16083</v>
      </c>
      <c r="V124" s="121">
        <f>Q124*$V$4</f>
        <v>3691</v>
      </c>
      <c r="W124" s="6"/>
      <c r="X124" s="6"/>
      <c r="Y124" s="6"/>
      <c r="Z124" s="6"/>
      <c r="AA124" s="19">
        <f>SUM(Q124:Z124)</f>
        <v>3328743</v>
      </c>
      <c r="AB124" s="19">
        <f>$AA124*AB$7</f>
        <v>3587120</v>
      </c>
      <c r="AC124" s="15">
        <f>AB124/D124</f>
        <v>399.58</v>
      </c>
      <c r="AD124" s="15">
        <f>AC124*D124</f>
        <v>3587149.53</v>
      </c>
      <c r="AE124" s="25"/>
      <c r="AF124" s="157">
        <f t="shared" si="51"/>
        <v>29.53</v>
      </c>
    </row>
    <row r="125" spans="1:32" s="4" customFormat="1" x14ac:dyDescent="0.25">
      <c r="A125" s="65" t="s">
        <v>1453</v>
      </c>
      <c r="B125" s="55" t="s">
        <v>380</v>
      </c>
      <c r="C125" s="24" t="s">
        <v>70</v>
      </c>
      <c r="D125" s="28">
        <f>36.7</f>
        <v>36.700000000000003</v>
      </c>
      <c r="E125" s="14">
        <f>H125/D125</f>
        <v>132.26</v>
      </c>
      <c r="F125" s="14"/>
      <c r="G125" s="14"/>
      <c r="H125" s="22">
        <v>4854</v>
      </c>
      <c r="I125" s="15"/>
      <c r="J125" s="15"/>
      <c r="K125" s="15"/>
      <c r="L125" s="15"/>
      <c r="M125" s="22"/>
      <c r="N125" s="22"/>
      <c r="O125" s="22">
        <f>H125*9.12</f>
        <v>44268</v>
      </c>
      <c r="P125" s="19">
        <f>O125*4.1%</f>
        <v>1815</v>
      </c>
      <c r="Q125" s="19">
        <f>SUM(O125:P125)</f>
        <v>46083</v>
      </c>
      <c r="R125" s="6">
        <f>Q125*0.35%</f>
        <v>161</v>
      </c>
      <c r="S125" s="6"/>
      <c r="T125" s="6"/>
      <c r="U125" s="121">
        <f>Q125*$U$4</f>
        <v>225</v>
      </c>
      <c r="V125" s="121">
        <f>Q125*$V$4</f>
        <v>52</v>
      </c>
      <c r="W125" s="6"/>
      <c r="X125" s="6"/>
      <c r="Y125" s="6"/>
      <c r="Z125" s="6"/>
      <c r="AA125" s="19">
        <f>SUM(Q125:Z125)</f>
        <v>46521</v>
      </c>
      <c r="AB125" s="19">
        <f>$AA125*AB$7</f>
        <v>50132</v>
      </c>
      <c r="AC125" s="15">
        <f>AB125/D125</f>
        <v>1365.99</v>
      </c>
      <c r="AD125" s="15">
        <f>AC125*D125</f>
        <v>50131.83</v>
      </c>
      <c r="AE125" s="25"/>
      <c r="AF125" s="157">
        <f t="shared" si="51"/>
        <v>-0.17</v>
      </c>
    </row>
    <row r="126" spans="1:32" s="91" customFormat="1" x14ac:dyDescent="0.25">
      <c r="A126" s="108" t="s">
        <v>374</v>
      </c>
      <c r="B126" s="56" t="s">
        <v>237</v>
      </c>
      <c r="C126" s="92"/>
      <c r="D126" s="93"/>
      <c r="E126" s="94"/>
      <c r="F126" s="94"/>
      <c r="G126" s="94"/>
      <c r="H126" s="99">
        <v>389930</v>
      </c>
      <c r="I126" s="20"/>
      <c r="J126" s="20">
        <f>389.93*1000</f>
        <v>389930</v>
      </c>
      <c r="K126" s="96" t="s">
        <v>238</v>
      </c>
      <c r="L126" s="89">
        <f>H126-J126</f>
        <v>0</v>
      </c>
      <c r="M126" s="95">
        <v>3556200</v>
      </c>
      <c r="N126" s="50">
        <f>SUM(O127:O131)-M126</f>
        <v>-2</v>
      </c>
      <c r="O126" s="95"/>
      <c r="P126" s="50"/>
      <c r="Q126" s="50"/>
      <c r="R126" s="50"/>
      <c r="S126" s="30"/>
      <c r="T126" s="30"/>
      <c r="U126" s="126"/>
      <c r="V126" s="126"/>
      <c r="W126" s="50"/>
      <c r="X126" s="30"/>
      <c r="Y126" s="30"/>
      <c r="Z126" s="30"/>
      <c r="AA126" s="50"/>
      <c r="AB126" s="50"/>
      <c r="AC126" s="20"/>
      <c r="AD126" s="20"/>
      <c r="AE126" s="97"/>
      <c r="AF126" s="157">
        <f t="shared" si="51"/>
        <v>0</v>
      </c>
    </row>
    <row r="127" spans="1:32" s="4" customFormat="1" x14ac:dyDescent="0.25">
      <c r="A127" s="64" t="s">
        <v>375</v>
      </c>
      <c r="B127" s="55" t="s">
        <v>381</v>
      </c>
      <c r="C127" s="24" t="s">
        <v>70</v>
      </c>
      <c r="D127" s="211">
        <f>40.5+56.5+74.7+51.8+10.5+28.2</f>
        <v>262.2</v>
      </c>
      <c r="E127" s="14">
        <f>H127/D127</f>
        <v>819.51</v>
      </c>
      <c r="F127" s="14"/>
      <c r="G127" s="14"/>
      <c r="H127" s="22">
        <f>214875.35</f>
        <v>214875</v>
      </c>
      <c r="I127" s="15"/>
      <c r="J127" s="15"/>
      <c r="K127" s="15"/>
      <c r="L127" s="15"/>
      <c r="M127" s="22"/>
      <c r="N127" s="22"/>
      <c r="O127" s="22">
        <f>H127*9.12</f>
        <v>1959660</v>
      </c>
      <c r="P127" s="19">
        <f>O127*4.1%</f>
        <v>80346</v>
      </c>
      <c r="Q127" s="19">
        <f>SUM(O127:P127)</f>
        <v>2040006</v>
      </c>
      <c r="R127" s="6">
        <f>Q127*0.35%</f>
        <v>7140</v>
      </c>
      <c r="S127" s="6"/>
      <c r="T127" s="6"/>
      <c r="U127" s="121">
        <f>Q127*$U$4</f>
        <v>9950</v>
      </c>
      <c r="V127" s="121">
        <f>Q127*$V$4</f>
        <v>2284</v>
      </c>
      <c r="W127" s="6"/>
      <c r="X127" s="6"/>
      <c r="Y127" s="6"/>
      <c r="Z127" s="6"/>
      <c r="AA127" s="19">
        <f>SUM(Q127:Z127)</f>
        <v>2059380</v>
      </c>
      <c r="AB127" s="19">
        <f>$AA127*AB$7</f>
        <v>2219229</v>
      </c>
      <c r="AC127" s="15">
        <f>AB127/D127</f>
        <v>8463.8799999999992</v>
      </c>
      <c r="AD127" s="15">
        <f>AC127*D127</f>
        <v>2219229.34</v>
      </c>
      <c r="AE127" s="25"/>
      <c r="AF127" s="157">
        <f t="shared" si="51"/>
        <v>0.34</v>
      </c>
    </row>
    <row r="128" spans="1:32" s="4" customFormat="1" x14ac:dyDescent="0.25">
      <c r="A128" s="64" t="s">
        <v>1454</v>
      </c>
      <c r="B128" s="55" t="s">
        <v>382</v>
      </c>
      <c r="C128" s="24" t="s">
        <v>70</v>
      </c>
      <c r="D128" s="211">
        <f>557.7+737.4+511.5+277.8</f>
        <v>2084.4</v>
      </c>
      <c r="E128" s="14">
        <f>H128/D128</f>
        <v>58.33</v>
      </c>
      <c r="F128" s="14"/>
      <c r="G128" s="14"/>
      <c r="H128" s="22">
        <v>121581</v>
      </c>
      <c r="I128" s="15"/>
      <c r="J128" s="15"/>
      <c r="K128" s="15"/>
      <c r="L128" s="15"/>
      <c r="M128" s="22"/>
      <c r="N128" s="22"/>
      <c r="O128" s="22">
        <f>H128*9.12</f>
        <v>1108819</v>
      </c>
      <c r="P128" s="19">
        <f>O128*4.1%</f>
        <v>45462</v>
      </c>
      <c r="Q128" s="19">
        <f>SUM(O128:P128)</f>
        <v>1154281</v>
      </c>
      <c r="R128" s="6">
        <f>Q128*0.35%</f>
        <v>4040</v>
      </c>
      <c r="S128" s="6"/>
      <c r="T128" s="6"/>
      <c r="U128" s="121">
        <f>Q128*$U$4</f>
        <v>5630</v>
      </c>
      <c r="V128" s="121">
        <f>Q128*$V$4</f>
        <v>1292</v>
      </c>
      <c r="W128" s="6"/>
      <c r="X128" s="6"/>
      <c r="Y128" s="6"/>
      <c r="Z128" s="6"/>
      <c r="AA128" s="19">
        <f>SUM(Q128:Z128)</f>
        <v>1165243</v>
      </c>
      <c r="AB128" s="19">
        <f>$AA128*AB$7</f>
        <v>1255689</v>
      </c>
      <c r="AC128" s="15">
        <f>AB128/D128</f>
        <v>602.41999999999996</v>
      </c>
      <c r="AD128" s="15">
        <f>AC128*D128</f>
        <v>1255684.25</v>
      </c>
      <c r="AE128" s="25"/>
      <c r="AF128" s="157">
        <f t="shared" si="51"/>
        <v>-4.75</v>
      </c>
    </row>
    <row r="129" spans="1:32" s="4" customFormat="1" x14ac:dyDescent="0.25">
      <c r="A129" s="64" t="s">
        <v>1455</v>
      </c>
      <c r="B129" s="55" t="s">
        <v>383</v>
      </c>
      <c r="C129" s="24" t="s">
        <v>82</v>
      </c>
      <c r="D129" s="211">
        <f>125.2</f>
        <v>125.2</v>
      </c>
      <c r="E129" s="14">
        <f>H129/D129</f>
        <v>60.13</v>
      </c>
      <c r="F129" s="14"/>
      <c r="G129" s="14"/>
      <c r="H129" s="22">
        <v>7528</v>
      </c>
      <c r="I129" s="15"/>
      <c r="J129" s="15"/>
      <c r="K129" s="15"/>
      <c r="L129" s="15"/>
      <c r="M129" s="22"/>
      <c r="N129" s="22"/>
      <c r="O129" s="22">
        <f>H129*9.12</f>
        <v>68655</v>
      </c>
      <c r="P129" s="19">
        <f>O129*4.1%</f>
        <v>2815</v>
      </c>
      <c r="Q129" s="19">
        <f>SUM(O129:P129)</f>
        <v>71470</v>
      </c>
      <c r="R129" s="6">
        <f>Q129*0.35%</f>
        <v>250</v>
      </c>
      <c r="S129" s="6"/>
      <c r="T129" s="6"/>
      <c r="U129" s="121">
        <f>Q129*$U$4</f>
        <v>349</v>
      </c>
      <c r="V129" s="121">
        <f>Q129*$V$4</f>
        <v>80</v>
      </c>
      <c r="W129" s="6"/>
      <c r="X129" s="6"/>
      <c r="Y129" s="6"/>
      <c r="Z129" s="6"/>
      <c r="AA129" s="19">
        <f>SUM(Q129:Z129)</f>
        <v>72149</v>
      </c>
      <c r="AB129" s="19">
        <f>$AA129*AB$7</f>
        <v>77749</v>
      </c>
      <c r="AC129" s="15">
        <f>AB129/D129</f>
        <v>621</v>
      </c>
      <c r="AD129" s="15">
        <f>AC129*D129</f>
        <v>77749.2</v>
      </c>
      <c r="AE129" s="25"/>
      <c r="AF129" s="157">
        <f t="shared" si="51"/>
        <v>0.2</v>
      </c>
    </row>
    <row r="130" spans="1:32" s="4" customFormat="1" x14ac:dyDescent="0.25">
      <c r="A130" s="64" t="s">
        <v>1456</v>
      </c>
      <c r="B130" s="55" t="s">
        <v>384</v>
      </c>
      <c r="C130" s="24" t="s">
        <v>70</v>
      </c>
      <c r="D130" s="211">
        <f>5.3+17.3+10.8</f>
        <v>33.4</v>
      </c>
      <c r="E130" s="14">
        <f>H130/D130</f>
        <v>147.49</v>
      </c>
      <c r="F130" s="14"/>
      <c r="G130" s="14"/>
      <c r="H130" s="22">
        <v>4926</v>
      </c>
      <c r="I130" s="15"/>
      <c r="J130" s="15"/>
      <c r="K130" s="15"/>
      <c r="L130" s="15"/>
      <c r="M130" s="22"/>
      <c r="N130" s="22"/>
      <c r="O130" s="22">
        <f>H130*9.12</f>
        <v>44925</v>
      </c>
      <c r="P130" s="19">
        <f>O130*4.1%</f>
        <v>1842</v>
      </c>
      <c r="Q130" s="19">
        <f>SUM(O130:P130)</f>
        <v>46767</v>
      </c>
      <c r="R130" s="6">
        <f>Q130*0.35%</f>
        <v>164</v>
      </c>
      <c r="S130" s="6"/>
      <c r="T130" s="6"/>
      <c r="U130" s="121">
        <f>Q130*$U$4</f>
        <v>228</v>
      </c>
      <c r="V130" s="121">
        <f>Q130*$V$4</f>
        <v>52</v>
      </c>
      <c r="W130" s="6"/>
      <c r="X130" s="6"/>
      <c r="Y130" s="6"/>
      <c r="Z130" s="6"/>
      <c r="AA130" s="19">
        <f>SUM(Q130:Z130)</f>
        <v>47211</v>
      </c>
      <c r="AB130" s="19">
        <f>$AA130*AB$7</f>
        <v>50876</v>
      </c>
      <c r="AC130" s="15">
        <f>AB130/D130</f>
        <v>1523.23</v>
      </c>
      <c r="AD130" s="15">
        <f>AC130*D130</f>
        <v>50875.88</v>
      </c>
      <c r="AE130" s="25"/>
      <c r="AF130" s="157">
        <f t="shared" si="51"/>
        <v>-0.12</v>
      </c>
    </row>
    <row r="131" spans="1:32" s="4" customFormat="1" x14ac:dyDescent="0.25">
      <c r="A131" s="64" t="s">
        <v>1457</v>
      </c>
      <c r="B131" s="55" t="s">
        <v>385</v>
      </c>
      <c r="C131" s="24" t="s">
        <v>70</v>
      </c>
      <c r="D131" s="211">
        <f>2378.1</f>
        <v>2378.1</v>
      </c>
      <c r="E131" s="14">
        <f>H131/D131</f>
        <v>17.25</v>
      </c>
      <c r="F131" s="14"/>
      <c r="G131" s="14"/>
      <c r="H131" s="22">
        <v>41024</v>
      </c>
      <c r="I131" s="15"/>
      <c r="J131" s="15"/>
      <c r="K131" s="15"/>
      <c r="L131" s="15"/>
      <c r="M131" s="22"/>
      <c r="N131" s="22"/>
      <c r="O131" s="22">
        <f>H131*9.12</f>
        <v>374139</v>
      </c>
      <c r="P131" s="19">
        <f>O131*4.1%</f>
        <v>15340</v>
      </c>
      <c r="Q131" s="19">
        <f>SUM(O131:P131)</f>
        <v>389479</v>
      </c>
      <c r="R131" s="6">
        <f>Q131*0.35%</f>
        <v>1363</v>
      </c>
      <c r="S131" s="145">
        <f>155.87*14.82</f>
        <v>2310</v>
      </c>
      <c r="T131" s="121">
        <f>Q131*$T$7</f>
        <v>372</v>
      </c>
      <c r="U131" s="121">
        <f>Q131*$U$4</f>
        <v>1900</v>
      </c>
      <c r="V131" s="121">
        <f>Q131*$V$4</f>
        <v>436</v>
      </c>
      <c r="W131" s="6"/>
      <c r="X131" s="6"/>
      <c r="Y131" s="6"/>
      <c r="Z131" s="6"/>
      <c r="AA131" s="19">
        <f>SUM(Q131:Z131)</f>
        <v>395860</v>
      </c>
      <c r="AB131" s="19">
        <f>$AA131*AB$7</f>
        <v>426587</v>
      </c>
      <c r="AC131" s="15">
        <f>AB131/D131</f>
        <v>179.38</v>
      </c>
      <c r="AD131" s="15">
        <f>AC131*D131</f>
        <v>426583.58</v>
      </c>
      <c r="AE131" s="25"/>
      <c r="AF131" s="157">
        <f t="shared" si="51"/>
        <v>-3.42</v>
      </c>
    </row>
    <row r="132" spans="1:32" s="51" customFormat="1" x14ac:dyDescent="0.25">
      <c r="A132" s="108" t="s">
        <v>104</v>
      </c>
      <c r="B132" s="88" t="s">
        <v>8</v>
      </c>
      <c r="C132" s="92"/>
      <c r="D132" s="93"/>
      <c r="E132" s="94"/>
      <c r="F132" s="94"/>
      <c r="G132" s="94"/>
      <c r="H132" s="111">
        <v>213680</v>
      </c>
      <c r="I132" s="20"/>
      <c r="J132" s="20">
        <f>213.68*1000</f>
        <v>213680</v>
      </c>
      <c r="K132" s="20" t="s">
        <v>25</v>
      </c>
      <c r="L132" s="20">
        <f>H132-J132</f>
        <v>0</v>
      </c>
      <c r="M132" s="95">
        <v>1948770</v>
      </c>
      <c r="N132" s="50">
        <f>SUM(O133:O135)-M132</f>
        <v>0</v>
      </c>
      <c r="O132" s="95"/>
      <c r="P132" s="50"/>
      <c r="Q132" s="50"/>
      <c r="R132" s="50"/>
      <c r="S132" s="30"/>
      <c r="T132" s="30"/>
      <c r="U132" s="30"/>
      <c r="V132" s="30"/>
      <c r="W132" s="30"/>
      <c r="X132" s="30"/>
      <c r="Y132" s="30"/>
      <c r="Z132" s="30"/>
      <c r="AA132" s="50"/>
      <c r="AB132" s="50"/>
      <c r="AC132" s="20"/>
      <c r="AD132" s="20"/>
      <c r="AE132" s="97"/>
      <c r="AF132" s="157">
        <f t="shared" si="43"/>
        <v>0</v>
      </c>
    </row>
    <row r="133" spans="1:32" s="43" customFormat="1" x14ac:dyDescent="0.25">
      <c r="A133" s="72" t="s">
        <v>106</v>
      </c>
      <c r="B133" s="55" t="s">
        <v>387</v>
      </c>
      <c r="C133" s="71" t="s">
        <v>72</v>
      </c>
      <c r="D133" s="52">
        <f>6.48+53.55+3.75</f>
        <v>63.78</v>
      </c>
      <c r="E133" s="73">
        <v>1784.64</v>
      </c>
      <c r="F133" s="73"/>
      <c r="G133" s="73"/>
      <c r="H133" s="74">
        <v>2790</v>
      </c>
      <c r="I133" s="15"/>
      <c r="J133" s="15"/>
      <c r="K133" s="15"/>
      <c r="L133" s="15"/>
      <c r="M133" s="74"/>
      <c r="N133" s="74"/>
      <c r="O133" s="74">
        <f>H133*9.12</f>
        <v>25445</v>
      </c>
      <c r="P133" s="19">
        <f>O133*4.1%</f>
        <v>1043</v>
      </c>
      <c r="Q133" s="19">
        <f>SUM(O133:P133)</f>
        <v>26488</v>
      </c>
      <c r="R133" s="6">
        <f>Q133*0.35%</f>
        <v>93</v>
      </c>
      <c r="S133" s="6"/>
      <c r="T133" s="6"/>
      <c r="U133" s="6"/>
      <c r="V133" s="6"/>
      <c r="W133" s="6"/>
      <c r="X133" s="6"/>
      <c r="Y133" s="6"/>
      <c r="Z133" s="6"/>
      <c r="AA133" s="19">
        <f>SUM(Q133:Z133)</f>
        <v>26581</v>
      </c>
      <c r="AB133" s="19">
        <f>$AA133*AB$7</f>
        <v>28644</v>
      </c>
      <c r="AC133" s="15">
        <f>AB133/D133</f>
        <v>449.11</v>
      </c>
      <c r="AD133" s="15">
        <f>AC133*D133</f>
        <v>28644.240000000002</v>
      </c>
      <c r="AE133" s="25"/>
      <c r="AF133" s="157">
        <f t="shared" si="43"/>
        <v>0.24</v>
      </c>
    </row>
    <row r="134" spans="1:32" s="43" customFormat="1" x14ac:dyDescent="0.25">
      <c r="A134" s="72" t="s">
        <v>376</v>
      </c>
      <c r="B134" s="55" t="s">
        <v>388</v>
      </c>
      <c r="C134" s="71" t="s">
        <v>72</v>
      </c>
      <c r="D134" s="52">
        <f>6.48+47.25+6.3+3.75</f>
        <v>63.78</v>
      </c>
      <c r="E134" s="73">
        <v>1784.64</v>
      </c>
      <c r="F134" s="73"/>
      <c r="G134" s="73"/>
      <c r="H134" s="74">
        <v>198062</v>
      </c>
      <c r="I134" s="15"/>
      <c r="J134" s="15"/>
      <c r="K134" s="15"/>
      <c r="L134" s="15"/>
      <c r="M134" s="74"/>
      <c r="N134" s="74"/>
      <c r="O134" s="74">
        <f t="shared" ref="O134:O135" si="52">H134*9.12</f>
        <v>1806325</v>
      </c>
      <c r="P134" s="19">
        <f t="shared" ref="P134:P135" si="53">O134*4.1%</f>
        <v>74059</v>
      </c>
      <c r="Q134" s="19">
        <f t="shared" ref="Q134:Q135" si="54">SUM(O134:P134)</f>
        <v>1880384</v>
      </c>
      <c r="R134" s="6">
        <f t="shared" ref="R134:R135" si="55">Q134*0.35%</f>
        <v>6581</v>
      </c>
      <c r="S134" s="6"/>
      <c r="T134" s="6"/>
      <c r="U134" s="6"/>
      <c r="V134" s="6"/>
      <c r="W134" s="6"/>
      <c r="X134" s="6"/>
      <c r="Y134" s="6"/>
      <c r="Z134" s="6"/>
      <c r="AA134" s="19">
        <f t="shared" ref="AA134:AA135" si="56">SUM(Q134:Z134)</f>
        <v>1886965</v>
      </c>
      <c r="AB134" s="19">
        <f t="shared" ref="AB134:AB135" si="57">$AA134*AB$7</f>
        <v>2033431</v>
      </c>
      <c r="AC134" s="15">
        <f>AB134/D134</f>
        <v>31881.95</v>
      </c>
      <c r="AD134" s="15">
        <f>AC134*D134</f>
        <v>2033430.77</v>
      </c>
      <c r="AE134" s="25"/>
      <c r="AF134" s="157">
        <f t="shared" si="43"/>
        <v>-0.23</v>
      </c>
    </row>
    <row r="135" spans="1:32" s="43" customFormat="1" ht="25.5" x14ac:dyDescent="0.25">
      <c r="A135" s="72" t="s">
        <v>1458</v>
      </c>
      <c r="B135" s="55" t="s">
        <v>389</v>
      </c>
      <c r="C135" s="71" t="s">
        <v>67</v>
      </c>
      <c r="D135" s="52">
        <v>29</v>
      </c>
      <c r="E135" s="73">
        <v>1784.64</v>
      </c>
      <c r="F135" s="73"/>
      <c r="G135" s="73"/>
      <c r="H135" s="74">
        <v>12829</v>
      </c>
      <c r="I135" s="15"/>
      <c r="J135" s="15"/>
      <c r="K135" s="15"/>
      <c r="L135" s="15"/>
      <c r="M135" s="74"/>
      <c r="N135" s="74"/>
      <c r="O135" s="74">
        <f t="shared" si="52"/>
        <v>117000</v>
      </c>
      <c r="P135" s="19">
        <f t="shared" si="53"/>
        <v>4797</v>
      </c>
      <c r="Q135" s="19">
        <f t="shared" si="54"/>
        <v>121797</v>
      </c>
      <c r="R135" s="6">
        <f t="shared" si="55"/>
        <v>426</v>
      </c>
      <c r="S135" s="6"/>
      <c r="T135" s="6"/>
      <c r="U135" s="6"/>
      <c r="V135" s="6"/>
      <c r="W135" s="6"/>
      <c r="X135" s="6"/>
      <c r="Y135" s="6"/>
      <c r="Z135" s="6"/>
      <c r="AA135" s="19">
        <f t="shared" si="56"/>
        <v>122223</v>
      </c>
      <c r="AB135" s="19">
        <f t="shared" si="57"/>
        <v>131710</v>
      </c>
      <c r="AC135" s="15">
        <f>AB135/D135</f>
        <v>4541.72</v>
      </c>
      <c r="AD135" s="15">
        <f>AC135*D135</f>
        <v>131709.88</v>
      </c>
      <c r="AE135" s="25"/>
      <c r="AF135" s="157">
        <f t="shared" si="43"/>
        <v>-0.12</v>
      </c>
    </row>
    <row r="136" spans="1:32" s="4" customFormat="1" x14ac:dyDescent="0.25">
      <c r="A136" s="23" t="s">
        <v>108</v>
      </c>
      <c r="B136" s="11" t="s">
        <v>109</v>
      </c>
      <c r="C136" s="12"/>
      <c r="D136" s="13"/>
      <c r="E136" s="14"/>
      <c r="F136" s="14"/>
      <c r="G136" s="14"/>
      <c r="H136" s="22"/>
      <c r="I136" s="15"/>
      <c r="J136" s="15"/>
      <c r="K136" s="15"/>
      <c r="L136" s="15"/>
      <c r="M136" s="22"/>
      <c r="N136" s="22"/>
      <c r="O136" s="74"/>
      <c r="P136" s="19"/>
      <c r="Q136" s="19"/>
      <c r="R136" s="6"/>
      <c r="S136" s="6"/>
      <c r="T136" s="6"/>
      <c r="U136" s="6"/>
      <c r="V136" s="6"/>
      <c r="W136" s="6"/>
      <c r="X136" s="6"/>
      <c r="Y136" s="6"/>
      <c r="Z136" s="6"/>
      <c r="AA136" s="19"/>
      <c r="AB136" s="19"/>
      <c r="AC136" s="15"/>
      <c r="AD136" s="15"/>
      <c r="AE136" s="25"/>
      <c r="AF136" s="157">
        <f t="shared" si="43"/>
        <v>0</v>
      </c>
    </row>
    <row r="137" spans="1:32" s="91" customFormat="1" x14ac:dyDescent="0.25">
      <c r="A137" s="87" t="s">
        <v>110</v>
      </c>
      <c r="B137" s="88" t="s">
        <v>111</v>
      </c>
      <c r="C137" s="92"/>
      <c r="D137" s="93"/>
      <c r="E137" s="94"/>
      <c r="F137" s="94"/>
      <c r="G137" s="94"/>
      <c r="H137" s="99">
        <v>245032540</v>
      </c>
      <c r="I137" s="20"/>
      <c r="J137" s="20">
        <f>245032.54*1000</f>
        <v>245032540</v>
      </c>
      <c r="K137" s="20" t="s">
        <v>9</v>
      </c>
      <c r="L137" s="89">
        <f>H137-J137</f>
        <v>0</v>
      </c>
      <c r="M137" s="95">
        <v>2234696740</v>
      </c>
      <c r="N137" s="50">
        <f>SUM(O138:O150)-M137</f>
        <v>5</v>
      </c>
      <c r="O137" s="95"/>
      <c r="P137" s="50"/>
      <c r="Q137" s="50"/>
      <c r="R137" s="50"/>
      <c r="S137" s="30"/>
      <c r="T137" s="30"/>
      <c r="U137" s="126"/>
      <c r="V137" s="126"/>
      <c r="W137" s="50"/>
      <c r="X137" s="30"/>
      <c r="Y137" s="30"/>
      <c r="Z137" s="30"/>
      <c r="AA137" s="50"/>
      <c r="AB137" s="50"/>
      <c r="AC137" s="20"/>
      <c r="AD137" s="20"/>
      <c r="AE137" s="97"/>
      <c r="AF137" s="157">
        <f t="shared" si="43"/>
        <v>0</v>
      </c>
    </row>
    <row r="138" spans="1:32" s="4" customFormat="1" x14ac:dyDescent="0.25">
      <c r="A138" s="65" t="s">
        <v>112</v>
      </c>
      <c r="B138" s="55" t="s">
        <v>113</v>
      </c>
      <c r="C138" s="68" t="s">
        <v>70</v>
      </c>
      <c r="D138" s="28">
        <f>128784+1391+17485+3300+49222+52688</f>
        <v>252870</v>
      </c>
      <c r="E138" s="14">
        <f t="shared" ref="E138:E150" si="58">H138/D138</f>
        <v>19.27</v>
      </c>
      <c r="F138" s="14"/>
      <c r="G138" s="14"/>
      <c r="H138" s="22">
        <v>4873937</v>
      </c>
      <c r="I138" s="15"/>
      <c r="J138" s="15"/>
      <c r="K138" s="15"/>
      <c r="L138" s="15"/>
      <c r="M138" s="22"/>
      <c r="N138" s="22"/>
      <c r="O138" s="22">
        <f>H138*9.12</f>
        <v>44450305</v>
      </c>
      <c r="P138" s="19">
        <f>O138*4.1%</f>
        <v>1822463</v>
      </c>
      <c r="Q138" s="19">
        <f>SUM(O138:P138)</f>
        <v>46272768</v>
      </c>
      <c r="R138" s="6">
        <f>Q138*0.35%</f>
        <v>161955</v>
      </c>
      <c r="S138" s="6"/>
      <c r="T138" s="6"/>
      <c r="U138" s="121">
        <f>Q138*$U$4</f>
        <v>225693</v>
      </c>
      <c r="V138" s="121">
        <f>Q138*$V$4</f>
        <v>51800</v>
      </c>
      <c r="W138" s="6"/>
      <c r="X138" s="6"/>
      <c r="Y138" s="6"/>
      <c r="Z138" s="6"/>
      <c r="AA138" s="19">
        <f>SUM(Q138:Z138)</f>
        <v>46712216</v>
      </c>
      <c r="AB138" s="19">
        <f>$AA138*AB$7</f>
        <v>50338018</v>
      </c>
      <c r="AC138" s="15">
        <f t="shared" ref="AC138:AC150" si="59">AB138/D138</f>
        <v>199.07</v>
      </c>
      <c r="AD138" s="15">
        <f t="shared" ref="AD138:AD150" si="60">AC138*D138</f>
        <v>50338830.899999999</v>
      </c>
      <c r="AE138" s="25"/>
      <c r="AF138" s="157">
        <f t="shared" si="43"/>
        <v>812.9</v>
      </c>
    </row>
    <row r="139" spans="1:32" s="4" customFormat="1" x14ac:dyDescent="0.25">
      <c r="A139" s="65" t="s">
        <v>114</v>
      </c>
      <c r="B139" s="55" t="s">
        <v>390</v>
      </c>
      <c r="C139" s="68" t="s">
        <v>70</v>
      </c>
      <c r="D139" s="28">
        <f>367326+28867+2352+73+1139.9</f>
        <v>399757.9</v>
      </c>
      <c r="E139" s="14">
        <f t="shared" si="58"/>
        <v>98.93</v>
      </c>
      <c r="F139" s="14"/>
      <c r="G139" s="14"/>
      <c r="H139" s="22">
        <v>39548843</v>
      </c>
      <c r="I139" s="15"/>
      <c r="J139" s="15"/>
      <c r="K139" s="15"/>
      <c r="L139" s="15"/>
      <c r="M139" s="22"/>
      <c r="N139" s="22"/>
      <c r="O139" s="22">
        <f t="shared" ref="O139:O150" si="61">H139*9.12</f>
        <v>360685448</v>
      </c>
      <c r="P139" s="19">
        <f t="shared" ref="P139:P150" si="62">O139*4.1%</f>
        <v>14788103</v>
      </c>
      <c r="Q139" s="19">
        <f t="shared" ref="Q139:Q150" si="63">SUM(O139:P139)</f>
        <v>375473551</v>
      </c>
      <c r="R139" s="6">
        <f t="shared" ref="R139:R150" si="64">Q139*0.35%</f>
        <v>1314157</v>
      </c>
      <c r="S139" s="6"/>
      <c r="T139" s="6"/>
      <c r="U139" s="121">
        <f t="shared" ref="U139:U150" si="65">Q139*$U$4</f>
        <v>1831349</v>
      </c>
      <c r="V139" s="121">
        <f t="shared" ref="V139:V150" si="66">Q139*$V$4</f>
        <v>420325</v>
      </c>
      <c r="W139" s="6"/>
      <c r="X139" s="6"/>
      <c r="Y139" s="6"/>
      <c r="Z139" s="6"/>
      <c r="AA139" s="19">
        <f t="shared" ref="AA139:AA150" si="67">SUM(Q139:Z139)</f>
        <v>379039382</v>
      </c>
      <c r="AB139" s="19">
        <f t="shared" ref="AB139:AB150" si="68">$AA139*AB$7</f>
        <v>408460419</v>
      </c>
      <c r="AC139" s="15">
        <f t="shared" si="59"/>
        <v>1021.77</v>
      </c>
      <c r="AD139" s="15">
        <f t="shared" si="60"/>
        <v>408460629.48000002</v>
      </c>
      <c r="AE139" s="25"/>
      <c r="AF139" s="157">
        <f t="shared" si="43"/>
        <v>210.48</v>
      </c>
    </row>
    <row r="140" spans="1:32" s="4" customFormat="1" x14ac:dyDescent="0.25">
      <c r="A140" s="65" t="s">
        <v>1303</v>
      </c>
      <c r="B140" s="55" t="s">
        <v>391</v>
      </c>
      <c r="C140" s="68" t="s">
        <v>70</v>
      </c>
      <c r="D140" s="28">
        <f>215239+107619.5+4294+2147+45819+22909.5</f>
        <v>398028</v>
      </c>
      <c r="E140" s="14">
        <f t="shared" si="58"/>
        <v>113.36</v>
      </c>
      <c r="F140" s="14"/>
      <c r="G140" s="14"/>
      <c r="H140" s="22">
        <v>45121126</v>
      </c>
      <c r="I140" s="15"/>
      <c r="J140" s="15"/>
      <c r="K140" s="15"/>
      <c r="L140" s="15"/>
      <c r="M140" s="22"/>
      <c r="N140" s="22"/>
      <c r="O140" s="22">
        <f t="shared" si="61"/>
        <v>411504669</v>
      </c>
      <c r="P140" s="19">
        <f t="shared" si="62"/>
        <v>16871691</v>
      </c>
      <c r="Q140" s="19">
        <f t="shared" si="63"/>
        <v>428376360</v>
      </c>
      <c r="R140" s="6">
        <f t="shared" si="64"/>
        <v>1499317</v>
      </c>
      <c r="S140" s="6"/>
      <c r="T140" s="6"/>
      <c r="U140" s="121">
        <f t="shared" si="65"/>
        <v>2089379</v>
      </c>
      <c r="V140" s="121">
        <f t="shared" si="66"/>
        <v>479547</v>
      </c>
      <c r="W140" s="6"/>
      <c r="X140" s="6"/>
      <c r="Y140" s="6"/>
      <c r="Z140" s="6"/>
      <c r="AA140" s="19">
        <f t="shared" si="67"/>
        <v>432444603</v>
      </c>
      <c r="AB140" s="19">
        <f t="shared" si="68"/>
        <v>466010953</v>
      </c>
      <c r="AC140" s="15">
        <f t="shared" si="59"/>
        <v>1170.8</v>
      </c>
      <c r="AD140" s="15">
        <f t="shared" si="60"/>
        <v>466011182.39999998</v>
      </c>
      <c r="AE140" s="25"/>
      <c r="AF140" s="157">
        <f t="shared" ref="AF140:AF317" si="69">AD140-AB140</f>
        <v>229.4</v>
      </c>
    </row>
    <row r="141" spans="1:32" s="4" customFormat="1" x14ac:dyDescent="0.25">
      <c r="A141" s="65" t="s">
        <v>1304</v>
      </c>
      <c r="B141" s="55" t="s">
        <v>392</v>
      </c>
      <c r="C141" s="68" t="s">
        <v>70</v>
      </c>
      <c r="D141" s="28">
        <f>80477+253042+95306+8121+23937</f>
        <v>460883</v>
      </c>
      <c r="E141" s="14">
        <f t="shared" si="58"/>
        <v>165.18</v>
      </c>
      <c r="F141" s="14"/>
      <c r="G141" s="14"/>
      <c r="H141" s="22">
        <v>76128029</v>
      </c>
      <c r="I141" s="15"/>
      <c r="J141" s="15"/>
      <c r="K141" s="15"/>
      <c r="L141" s="15"/>
      <c r="M141" s="22"/>
      <c r="N141" s="22"/>
      <c r="O141" s="22">
        <f t="shared" si="61"/>
        <v>694287624</v>
      </c>
      <c r="P141" s="19">
        <f t="shared" si="62"/>
        <v>28465793</v>
      </c>
      <c r="Q141" s="19">
        <f t="shared" si="63"/>
        <v>722753417</v>
      </c>
      <c r="R141" s="6">
        <f t="shared" si="64"/>
        <v>2529637</v>
      </c>
      <c r="S141" s="6"/>
      <c r="T141" s="6"/>
      <c r="U141" s="121">
        <f t="shared" si="65"/>
        <v>3525184</v>
      </c>
      <c r="V141" s="121">
        <f t="shared" si="66"/>
        <v>809088</v>
      </c>
      <c r="W141" s="6"/>
      <c r="X141" s="6"/>
      <c r="Y141" s="6"/>
      <c r="Z141" s="6"/>
      <c r="AA141" s="19">
        <f t="shared" si="67"/>
        <v>729617326</v>
      </c>
      <c r="AB141" s="19">
        <f t="shared" si="68"/>
        <v>786250223</v>
      </c>
      <c r="AC141" s="15">
        <f t="shared" si="59"/>
        <v>1705.96</v>
      </c>
      <c r="AD141" s="15">
        <f t="shared" si="60"/>
        <v>786247962.67999995</v>
      </c>
      <c r="AE141" s="25"/>
      <c r="AF141" s="157">
        <f t="shared" si="69"/>
        <v>-2260.3200000000002</v>
      </c>
    </row>
    <row r="142" spans="1:32" s="4" customFormat="1" x14ac:dyDescent="0.25">
      <c r="A142" s="65" t="s">
        <v>1305</v>
      </c>
      <c r="B142" s="55" t="s">
        <v>393</v>
      </c>
      <c r="C142" s="68" t="s">
        <v>70</v>
      </c>
      <c r="D142" s="28">
        <f>984293</f>
        <v>984293</v>
      </c>
      <c r="E142" s="14">
        <f t="shared" si="58"/>
        <v>31.48</v>
      </c>
      <c r="F142" s="14"/>
      <c r="G142" s="14"/>
      <c r="H142" s="22">
        <v>30982470</v>
      </c>
      <c r="I142" s="15"/>
      <c r="J142" s="15"/>
      <c r="K142" s="15"/>
      <c r="L142" s="15"/>
      <c r="M142" s="22"/>
      <c r="N142" s="22"/>
      <c r="O142" s="22">
        <f t="shared" si="61"/>
        <v>282560126</v>
      </c>
      <c r="P142" s="19">
        <f t="shared" si="62"/>
        <v>11584965</v>
      </c>
      <c r="Q142" s="19">
        <f t="shared" si="63"/>
        <v>294145091</v>
      </c>
      <c r="R142" s="6">
        <f t="shared" si="64"/>
        <v>1029508</v>
      </c>
      <c r="S142" s="6"/>
      <c r="T142" s="6"/>
      <c r="U142" s="121">
        <f t="shared" si="65"/>
        <v>1434674</v>
      </c>
      <c r="V142" s="121">
        <f t="shared" si="66"/>
        <v>329282</v>
      </c>
      <c r="W142" s="6"/>
      <c r="X142" s="6"/>
      <c r="Y142" s="6"/>
      <c r="Z142" s="6"/>
      <c r="AA142" s="19">
        <f t="shared" si="67"/>
        <v>296938555</v>
      </c>
      <c r="AB142" s="19">
        <f t="shared" si="68"/>
        <v>319986926</v>
      </c>
      <c r="AC142" s="15">
        <f t="shared" si="59"/>
        <v>325.08999999999997</v>
      </c>
      <c r="AD142" s="15">
        <f t="shared" si="60"/>
        <v>319983811.37</v>
      </c>
      <c r="AE142" s="25"/>
      <c r="AF142" s="157">
        <f t="shared" si="69"/>
        <v>-3114.63</v>
      </c>
    </row>
    <row r="143" spans="1:32" s="4" customFormat="1" x14ac:dyDescent="0.25">
      <c r="A143" s="65" t="s">
        <v>1306</v>
      </c>
      <c r="B143" s="55" t="s">
        <v>394</v>
      </c>
      <c r="C143" s="68" t="s">
        <v>72</v>
      </c>
      <c r="D143" s="28">
        <v>95406</v>
      </c>
      <c r="E143" s="14">
        <f t="shared" si="58"/>
        <v>106.11</v>
      </c>
      <c r="F143" s="14"/>
      <c r="G143" s="14"/>
      <c r="H143" s="22">
        <v>10123122</v>
      </c>
      <c r="I143" s="15"/>
      <c r="J143" s="15"/>
      <c r="K143" s="15"/>
      <c r="L143" s="15"/>
      <c r="M143" s="22"/>
      <c r="N143" s="22"/>
      <c r="O143" s="22">
        <f t="shared" si="61"/>
        <v>92322873</v>
      </c>
      <c r="P143" s="19">
        <f t="shared" si="62"/>
        <v>3785238</v>
      </c>
      <c r="Q143" s="19">
        <f t="shared" si="63"/>
        <v>96108111</v>
      </c>
      <c r="R143" s="6">
        <f t="shared" si="64"/>
        <v>336378</v>
      </c>
      <c r="S143" s="6"/>
      <c r="T143" s="6"/>
      <c r="U143" s="121">
        <f t="shared" si="65"/>
        <v>468761</v>
      </c>
      <c r="V143" s="121">
        <f t="shared" si="66"/>
        <v>107588</v>
      </c>
      <c r="W143" s="6"/>
      <c r="X143" s="6"/>
      <c r="Y143" s="6"/>
      <c r="Z143" s="6"/>
      <c r="AA143" s="19">
        <f t="shared" si="67"/>
        <v>97020838</v>
      </c>
      <c r="AB143" s="19">
        <f t="shared" si="68"/>
        <v>104551595</v>
      </c>
      <c r="AC143" s="15">
        <f t="shared" si="59"/>
        <v>1095.8599999999999</v>
      </c>
      <c r="AD143" s="15">
        <f t="shared" si="60"/>
        <v>104551619.16</v>
      </c>
      <c r="AE143" s="25"/>
      <c r="AF143" s="157">
        <f t="shared" si="69"/>
        <v>24.16</v>
      </c>
    </row>
    <row r="144" spans="1:32" s="4" customFormat="1" x14ac:dyDescent="0.25">
      <c r="A144" s="65" t="s">
        <v>1307</v>
      </c>
      <c r="B144" s="55" t="s">
        <v>395</v>
      </c>
      <c r="C144" s="68" t="s">
        <v>72</v>
      </c>
      <c r="D144" s="28">
        <f>213123+69614+2885</f>
        <v>285622</v>
      </c>
      <c r="E144" s="14">
        <f t="shared" si="58"/>
        <v>25.48</v>
      </c>
      <c r="F144" s="14"/>
      <c r="G144" s="14"/>
      <c r="H144" s="22">
        <v>7276386</v>
      </c>
      <c r="I144" s="15"/>
      <c r="J144" s="15"/>
      <c r="K144" s="15"/>
      <c r="L144" s="15"/>
      <c r="M144" s="22"/>
      <c r="N144" s="22"/>
      <c r="O144" s="22">
        <f t="shared" si="61"/>
        <v>66360640</v>
      </c>
      <c r="P144" s="19">
        <f t="shared" si="62"/>
        <v>2720786</v>
      </c>
      <c r="Q144" s="19">
        <f t="shared" si="63"/>
        <v>69081426</v>
      </c>
      <c r="R144" s="6">
        <f t="shared" si="64"/>
        <v>241785</v>
      </c>
      <c r="S144" s="6"/>
      <c r="T144" s="6"/>
      <c r="U144" s="121">
        <f t="shared" si="65"/>
        <v>336940</v>
      </c>
      <c r="V144" s="121">
        <f t="shared" si="66"/>
        <v>77333</v>
      </c>
      <c r="W144" s="6"/>
      <c r="X144" s="6"/>
      <c r="Y144" s="6"/>
      <c r="Z144" s="6"/>
      <c r="AA144" s="19">
        <f t="shared" si="67"/>
        <v>69737484</v>
      </c>
      <c r="AB144" s="19">
        <f t="shared" si="68"/>
        <v>75150508</v>
      </c>
      <c r="AC144" s="15">
        <f t="shared" si="59"/>
        <v>263.11</v>
      </c>
      <c r="AD144" s="15">
        <f t="shared" si="60"/>
        <v>75150004.420000002</v>
      </c>
      <c r="AE144" s="25"/>
      <c r="AF144" s="157">
        <f t="shared" si="69"/>
        <v>-503.58</v>
      </c>
    </row>
    <row r="145" spans="1:32" s="4" customFormat="1" x14ac:dyDescent="0.25">
      <c r="A145" s="65" t="s">
        <v>1308</v>
      </c>
      <c r="B145" s="55" t="s">
        <v>396</v>
      </c>
      <c r="C145" s="68" t="s">
        <v>72</v>
      </c>
      <c r="D145" s="28">
        <f>11869+1438</f>
        <v>13307</v>
      </c>
      <c r="E145" s="14">
        <f t="shared" si="58"/>
        <v>76.260000000000005</v>
      </c>
      <c r="F145" s="14"/>
      <c r="G145" s="14"/>
      <c r="H145" s="22">
        <v>1014848.84</v>
      </c>
      <c r="I145" s="15"/>
      <c r="J145" s="15"/>
      <c r="K145" s="15"/>
      <c r="L145" s="15"/>
      <c r="M145" s="22"/>
      <c r="N145" s="22"/>
      <c r="O145" s="22">
        <f t="shared" si="61"/>
        <v>9255421</v>
      </c>
      <c r="P145" s="19">
        <f t="shared" si="62"/>
        <v>379472</v>
      </c>
      <c r="Q145" s="19">
        <f t="shared" si="63"/>
        <v>9634893</v>
      </c>
      <c r="R145" s="6">
        <f t="shared" si="64"/>
        <v>33722</v>
      </c>
      <c r="S145" s="6"/>
      <c r="T145" s="6"/>
      <c r="U145" s="121">
        <f t="shared" si="65"/>
        <v>46994</v>
      </c>
      <c r="V145" s="121">
        <f t="shared" si="66"/>
        <v>10786</v>
      </c>
      <c r="W145" s="6"/>
      <c r="X145" s="6"/>
      <c r="Y145" s="6"/>
      <c r="Z145" s="6"/>
      <c r="AA145" s="19">
        <f t="shared" si="67"/>
        <v>9726395</v>
      </c>
      <c r="AB145" s="19">
        <f t="shared" si="68"/>
        <v>10481358</v>
      </c>
      <c r="AC145" s="15">
        <f t="shared" si="59"/>
        <v>787.66</v>
      </c>
      <c r="AD145" s="15">
        <f t="shared" si="60"/>
        <v>10481391.619999999</v>
      </c>
      <c r="AE145" s="25"/>
      <c r="AF145" s="157">
        <f t="shared" si="69"/>
        <v>33.619999999999997</v>
      </c>
    </row>
    <row r="146" spans="1:32" s="4" customFormat="1" x14ac:dyDescent="0.25">
      <c r="A146" s="65" t="s">
        <v>1309</v>
      </c>
      <c r="B146" s="55" t="s">
        <v>397</v>
      </c>
      <c r="C146" s="68" t="s">
        <v>72</v>
      </c>
      <c r="D146" s="28">
        <f>20223+475</f>
        <v>20698</v>
      </c>
      <c r="E146" s="14">
        <f t="shared" si="58"/>
        <v>158.77000000000001</v>
      </c>
      <c r="F146" s="14"/>
      <c r="G146" s="14"/>
      <c r="H146" s="22">
        <v>3286294.93</v>
      </c>
      <c r="I146" s="15"/>
      <c r="J146" s="15"/>
      <c r="K146" s="15"/>
      <c r="L146" s="15"/>
      <c r="M146" s="22"/>
      <c r="N146" s="22"/>
      <c r="O146" s="22">
        <f t="shared" si="61"/>
        <v>29971010</v>
      </c>
      <c r="P146" s="19">
        <f t="shared" si="62"/>
        <v>1228811</v>
      </c>
      <c r="Q146" s="19">
        <f t="shared" si="63"/>
        <v>31199821</v>
      </c>
      <c r="R146" s="6">
        <f t="shared" si="64"/>
        <v>109199</v>
      </c>
      <c r="S146" s="6"/>
      <c r="T146" s="6"/>
      <c r="U146" s="121">
        <f t="shared" si="65"/>
        <v>152175</v>
      </c>
      <c r="V146" s="121">
        <f t="shared" si="66"/>
        <v>34927</v>
      </c>
      <c r="W146" s="6"/>
      <c r="X146" s="6"/>
      <c r="Y146" s="6"/>
      <c r="Z146" s="6"/>
      <c r="AA146" s="19">
        <f t="shared" si="67"/>
        <v>31496122</v>
      </c>
      <c r="AB146" s="19">
        <f t="shared" si="68"/>
        <v>33940851</v>
      </c>
      <c r="AC146" s="15">
        <f t="shared" si="59"/>
        <v>1639.81</v>
      </c>
      <c r="AD146" s="15">
        <f t="shared" si="60"/>
        <v>33940787.380000003</v>
      </c>
      <c r="AE146" s="25"/>
      <c r="AF146" s="157">
        <f t="shared" si="69"/>
        <v>-63.62</v>
      </c>
    </row>
    <row r="147" spans="1:32" s="4" customFormat="1" x14ac:dyDescent="0.25">
      <c r="A147" s="65" t="s">
        <v>1310</v>
      </c>
      <c r="B147" s="55" t="s">
        <v>398</v>
      </c>
      <c r="C147" s="68" t="s">
        <v>72</v>
      </c>
      <c r="D147" s="28">
        <f>696+1600.3</f>
        <v>2296.3000000000002</v>
      </c>
      <c r="E147" s="14">
        <f t="shared" si="58"/>
        <v>417.25</v>
      </c>
      <c r="F147" s="14"/>
      <c r="G147" s="14"/>
      <c r="H147" s="22">
        <v>958140.9</v>
      </c>
      <c r="I147" s="15"/>
      <c r="J147" s="15"/>
      <c r="K147" s="15"/>
      <c r="L147" s="15"/>
      <c r="M147" s="22"/>
      <c r="N147" s="22"/>
      <c r="O147" s="22">
        <f t="shared" si="61"/>
        <v>8738245</v>
      </c>
      <c r="P147" s="19">
        <f t="shared" si="62"/>
        <v>358268</v>
      </c>
      <c r="Q147" s="19">
        <f t="shared" si="63"/>
        <v>9096513</v>
      </c>
      <c r="R147" s="6">
        <f t="shared" si="64"/>
        <v>31838</v>
      </c>
      <c r="S147" s="6"/>
      <c r="T147" s="6"/>
      <c r="U147" s="121">
        <f t="shared" si="65"/>
        <v>44368</v>
      </c>
      <c r="V147" s="121">
        <f t="shared" si="66"/>
        <v>10183</v>
      </c>
      <c r="W147" s="6"/>
      <c r="X147" s="6"/>
      <c r="Y147" s="6"/>
      <c r="Z147" s="6"/>
      <c r="AA147" s="19">
        <f t="shared" si="67"/>
        <v>9182902</v>
      </c>
      <c r="AB147" s="19">
        <f t="shared" si="68"/>
        <v>9895679</v>
      </c>
      <c r="AC147" s="15">
        <f t="shared" si="59"/>
        <v>4309.3999999999996</v>
      </c>
      <c r="AD147" s="15">
        <f t="shared" si="60"/>
        <v>9895675.2200000007</v>
      </c>
      <c r="AE147" s="25"/>
      <c r="AF147" s="157">
        <f t="shared" si="69"/>
        <v>-3.78</v>
      </c>
    </row>
    <row r="148" spans="1:32" s="4" customFormat="1" x14ac:dyDescent="0.25">
      <c r="A148" s="65" t="s">
        <v>1311</v>
      </c>
      <c r="B148" s="55" t="s">
        <v>399</v>
      </c>
      <c r="C148" s="68" t="s">
        <v>70</v>
      </c>
      <c r="D148" s="28">
        <f>226.3+46.2+74.8+1291.4+9.5</f>
        <v>1648.2</v>
      </c>
      <c r="E148" s="14">
        <f t="shared" si="58"/>
        <v>1101.6400000000001</v>
      </c>
      <c r="F148" s="14"/>
      <c r="G148" s="14"/>
      <c r="H148" s="22">
        <v>1815731.14</v>
      </c>
      <c r="I148" s="15"/>
      <c r="J148" s="15"/>
      <c r="K148" s="15"/>
      <c r="L148" s="15"/>
      <c r="M148" s="22"/>
      <c r="N148" s="22"/>
      <c r="O148" s="22">
        <f t="shared" si="61"/>
        <v>16559468</v>
      </c>
      <c r="P148" s="19">
        <f t="shared" si="62"/>
        <v>678938</v>
      </c>
      <c r="Q148" s="19">
        <f t="shared" si="63"/>
        <v>17238406</v>
      </c>
      <c r="R148" s="6">
        <f t="shared" si="64"/>
        <v>60334</v>
      </c>
      <c r="S148" s="6"/>
      <c r="T148" s="6"/>
      <c r="U148" s="121">
        <f t="shared" si="65"/>
        <v>84079</v>
      </c>
      <c r="V148" s="121">
        <f t="shared" si="66"/>
        <v>19298</v>
      </c>
      <c r="W148" s="6"/>
      <c r="X148" s="6"/>
      <c r="Y148" s="6"/>
      <c r="Z148" s="6"/>
      <c r="AA148" s="19">
        <f t="shared" si="67"/>
        <v>17402117</v>
      </c>
      <c r="AB148" s="19">
        <f t="shared" si="68"/>
        <v>18752869</v>
      </c>
      <c r="AC148" s="15">
        <f t="shared" si="59"/>
        <v>11377.79</v>
      </c>
      <c r="AD148" s="15">
        <f t="shared" si="60"/>
        <v>18752873.48</v>
      </c>
      <c r="AE148" s="25"/>
      <c r="AF148" s="157">
        <f t="shared" si="69"/>
        <v>4.4800000000000004</v>
      </c>
    </row>
    <row r="149" spans="1:32" s="4" customFormat="1" x14ac:dyDescent="0.25">
      <c r="A149" s="65" t="s">
        <v>1312</v>
      </c>
      <c r="B149" s="55" t="s">
        <v>400</v>
      </c>
      <c r="C149" s="68" t="s">
        <v>72</v>
      </c>
      <c r="D149" s="28">
        <f>59178+159175+3689.1</f>
        <v>222042.1</v>
      </c>
      <c r="E149" s="14">
        <f t="shared" si="58"/>
        <v>104.26</v>
      </c>
      <c r="F149" s="14"/>
      <c r="G149" s="14"/>
      <c r="H149" s="22">
        <v>23149077</v>
      </c>
      <c r="I149" s="15"/>
      <c r="J149" s="15"/>
      <c r="K149" s="15"/>
      <c r="L149" s="15"/>
      <c r="M149" s="22"/>
      <c r="N149" s="22"/>
      <c r="O149" s="22">
        <f t="shared" si="61"/>
        <v>211119582</v>
      </c>
      <c r="P149" s="19">
        <f t="shared" si="62"/>
        <v>8655903</v>
      </c>
      <c r="Q149" s="19">
        <f t="shared" si="63"/>
        <v>219775485</v>
      </c>
      <c r="R149" s="6">
        <f t="shared" si="64"/>
        <v>769214</v>
      </c>
      <c r="S149" s="6"/>
      <c r="T149" s="6"/>
      <c r="U149" s="121">
        <f t="shared" si="65"/>
        <v>1071941</v>
      </c>
      <c r="V149" s="121">
        <f t="shared" si="66"/>
        <v>246028</v>
      </c>
      <c r="W149" s="6"/>
      <c r="X149" s="6"/>
      <c r="Y149" s="6"/>
      <c r="Z149" s="6"/>
      <c r="AA149" s="19">
        <f t="shared" si="67"/>
        <v>221862668</v>
      </c>
      <c r="AB149" s="19">
        <f t="shared" si="68"/>
        <v>239083648</v>
      </c>
      <c r="AC149" s="15">
        <f t="shared" si="59"/>
        <v>1076.75</v>
      </c>
      <c r="AD149" s="15">
        <f t="shared" si="60"/>
        <v>239083831.18000001</v>
      </c>
      <c r="AE149" s="25"/>
      <c r="AF149" s="157">
        <f t="shared" si="69"/>
        <v>183.18</v>
      </c>
    </row>
    <row r="150" spans="1:32" s="4" customFormat="1" x14ac:dyDescent="0.25">
      <c r="A150" s="65" t="s">
        <v>1313</v>
      </c>
      <c r="B150" s="55" t="s">
        <v>401</v>
      </c>
      <c r="C150" s="68" t="s">
        <v>67</v>
      </c>
      <c r="D150" s="28">
        <v>386</v>
      </c>
      <c r="E150" s="14">
        <f t="shared" si="58"/>
        <v>1954.75</v>
      </c>
      <c r="F150" s="14"/>
      <c r="G150" s="14"/>
      <c r="H150" s="22">
        <v>754532.27</v>
      </c>
      <c r="I150" s="15"/>
      <c r="J150" s="15"/>
      <c r="K150" s="15"/>
      <c r="L150" s="15"/>
      <c r="M150" s="22"/>
      <c r="N150" s="22"/>
      <c r="O150" s="22">
        <f t="shared" si="61"/>
        <v>6881334</v>
      </c>
      <c r="P150" s="19">
        <f t="shared" si="62"/>
        <v>282135</v>
      </c>
      <c r="Q150" s="19">
        <f t="shared" si="63"/>
        <v>7163469</v>
      </c>
      <c r="R150" s="6">
        <f t="shared" si="64"/>
        <v>25072</v>
      </c>
      <c r="S150" s="6"/>
      <c r="T150" s="6"/>
      <c r="U150" s="121">
        <f t="shared" si="65"/>
        <v>34939</v>
      </c>
      <c r="V150" s="121">
        <f t="shared" si="66"/>
        <v>8019</v>
      </c>
      <c r="W150" s="6"/>
      <c r="X150" s="6"/>
      <c r="Y150" s="6"/>
      <c r="Z150" s="6"/>
      <c r="AA150" s="19">
        <f t="shared" si="67"/>
        <v>7231499</v>
      </c>
      <c r="AB150" s="19">
        <f t="shared" si="68"/>
        <v>7792808</v>
      </c>
      <c r="AC150" s="15">
        <f t="shared" si="59"/>
        <v>20188.62</v>
      </c>
      <c r="AD150" s="15">
        <f t="shared" si="60"/>
        <v>7792807.3200000003</v>
      </c>
      <c r="AE150" s="25"/>
      <c r="AF150" s="157">
        <f t="shared" si="69"/>
        <v>-0.68</v>
      </c>
    </row>
    <row r="151" spans="1:32" s="91" customFormat="1" x14ac:dyDescent="0.25">
      <c r="A151" s="87" t="s">
        <v>1314</v>
      </c>
      <c r="B151" s="88" t="s">
        <v>5</v>
      </c>
      <c r="C151" s="92"/>
      <c r="D151" s="93"/>
      <c r="E151" s="90"/>
      <c r="F151" s="90"/>
      <c r="G151" s="90"/>
      <c r="H151" s="99">
        <v>289552920</v>
      </c>
      <c r="I151" s="20"/>
      <c r="J151" s="20">
        <f>289552.92*1000</f>
        <v>289552920</v>
      </c>
      <c r="K151" s="20" t="s">
        <v>10</v>
      </c>
      <c r="L151" s="89">
        <f>H151-J151</f>
        <v>0</v>
      </c>
      <c r="M151" s="95">
        <v>2640722600</v>
      </c>
      <c r="N151" s="50">
        <f>SUM(O152:O173)-M151</f>
        <v>29</v>
      </c>
      <c r="O151" s="95"/>
      <c r="P151" s="50"/>
      <c r="Q151" s="50"/>
      <c r="R151" s="50"/>
      <c r="S151" s="30"/>
      <c r="T151" s="30"/>
      <c r="U151" s="126"/>
      <c r="V151" s="126"/>
      <c r="W151" s="126"/>
      <c r="X151" s="30"/>
      <c r="Y151" s="30"/>
      <c r="Z151" s="30"/>
      <c r="AA151" s="50"/>
      <c r="AB151" s="50"/>
      <c r="AC151" s="20"/>
      <c r="AD151" s="20"/>
      <c r="AE151" s="97"/>
      <c r="AF151" s="157">
        <f t="shared" si="69"/>
        <v>0</v>
      </c>
    </row>
    <row r="152" spans="1:32" s="4" customFormat="1" ht="25.5" x14ac:dyDescent="0.25">
      <c r="A152" s="65" t="s">
        <v>1315</v>
      </c>
      <c r="B152" s="55" t="s">
        <v>115</v>
      </c>
      <c r="C152" s="24" t="s">
        <v>72</v>
      </c>
      <c r="D152" s="28">
        <f>423696</f>
        <v>423696</v>
      </c>
      <c r="E152" s="14">
        <f t="shared" ref="E152:E173" si="70">H152/D152</f>
        <v>177.32</v>
      </c>
      <c r="F152" s="14"/>
      <c r="G152" s="14"/>
      <c r="H152" s="44">
        <v>75131085</v>
      </c>
      <c r="I152" s="15"/>
      <c r="J152" s="15"/>
      <c r="K152" s="15"/>
      <c r="L152" s="15"/>
      <c r="M152" s="44"/>
      <c r="N152" s="44"/>
      <c r="O152" s="44">
        <f>H152*9.12</f>
        <v>685195495</v>
      </c>
      <c r="P152" s="19">
        <f>O152*4.1%</f>
        <v>28093015</v>
      </c>
      <c r="Q152" s="19">
        <f>SUM(O152:P152)</f>
        <v>713288510</v>
      </c>
      <c r="R152" s="6">
        <f>Q152*0.7%</f>
        <v>4993020</v>
      </c>
      <c r="S152" s="6"/>
      <c r="T152" s="6"/>
      <c r="U152" s="121">
        <f>Q152*$U$4</f>
        <v>3479020</v>
      </c>
      <c r="V152" s="121">
        <f>Q152*$V$4</f>
        <v>798493</v>
      </c>
      <c r="W152" s="121">
        <f>Q152*$W$4</f>
        <v>124685</v>
      </c>
      <c r="X152" s="6"/>
      <c r="Y152" s="6"/>
      <c r="Z152" s="6"/>
      <c r="AA152" s="19">
        <f>SUM(Q152:Z152)</f>
        <v>722683728</v>
      </c>
      <c r="AB152" s="19">
        <f>$AA152*AB$7</f>
        <v>778778439</v>
      </c>
      <c r="AC152" s="15">
        <f t="shared" ref="AC152:AC173" si="71">AB152/D152</f>
        <v>1838.06</v>
      </c>
      <c r="AD152" s="15">
        <f t="shared" ref="AD152:AD173" si="72">AC152*D152</f>
        <v>778778669.75999999</v>
      </c>
      <c r="AE152" s="25"/>
      <c r="AF152" s="157">
        <f t="shared" si="69"/>
        <v>230.76</v>
      </c>
    </row>
    <row r="153" spans="1:32" s="4" customFormat="1" ht="25.5" x14ac:dyDescent="0.25">
      <c r="A153" s="65" t="s">
        <v>1316</v>
      </c>
      <c r="B153" s="55" t="s">
        <v>402</v>
      </c>
      <c r="C153" s="24" t="s">
        <v>72</v>
      </c>
      <c r="D153" s="28">
        <f>296569</f>
        <v>296569</v>
      </c>
      <c r="E153" s="14">
        <f t="shared" si="70"/>
        <v>270.20999999999998</v>
      </c>
      <c r="F153" s="14"/>
      <c r="G153" s="14"/>
      <c r="H153" s="44">
        <v>80135865</v>
      </c>
      <c r="I153" s="15"/>
      <c r="J153" s="15"/>
      <c r="K153" s="15"/>
      <c r="L153" s="15"/>
      <c r="M153" s="44"/>
      <c r="N153" s="44"/>
      <c r="O153" s="44">
        <f t="shared" ref="O153:O173" si="73">H153*9.12</f>
        <v>730839089</v>
      </c>
      <c r="P153" s="19">
        <f t="shared" ref="P153:P173" si="74">O153*4.1%</f>
        <v>29964403</v>
      </c>
      <c r="Q153" s="19">
        <f t="shared" ref="Q153:Q173" si="75">SUM(O153:P153)</f>
        <v>760803492</v>
      </c>
      <c r="R153" s="6">
        <f t="shared" ref="R153:R173" si="76">Q153*0.7%</f>
        <v>5325624</v>
      </c>
      <c r="S153" s="6"/>
      <c r="T153" s="6"/>
      <c r="U153" s="121">
        <f t="shared" ref="U153:U173" si="77">Q153*$U$4</f>
        <v>3710771</v>
      </c>
      <c r="V153" s="121">
        <f t="shared" ref="V153:V173" si="78">Q153*$V$4</f>
        <v>851684</v>
      </c>
      <c r="W153" s="121">
        <f t="shared" ref="W153:W173" si="79">Q153*$W$4</f>
        <v>132991</v>
      </c>
      <c r="X153" s="6"/>
      <c r="Y153" s="6"/>
      <c r="Z153" s="6"/>
      <c r="AA153" s="19">
        <f t="shared" ref="AA153:AA173" si="80">SUM(Q153:Z153)</f>
        <v>770824562</v>
      </c>
      <c r="AB153" s="19">
        <f t="shared" ref="AB153:AB173" si="81">$AA153*AB$7</f>
        <v>830655965</v>
      </c>
      <c r="AC153" s="15">
        <f t="shared" si="71"/>
        <v>2800.89</v>
      </c>
      <c r="AD153" s="15">
        <f t="shared" si="72"/>
        <v>830657146.40999997</v>
      </c>
      <c r="AE153" s="25"/>
      <c r="AF153" s="157">
        <f t="shared" si="69"/>
        <v>1181.4100000000001</v>
      </c>
    </row>
    <row r="154" spans="1:32" s="4" customFormat="1" ht="25.5" x14ac:dyDescent="0.25">
      <c r="A154" s="65" t="s">
        <v>1317</v>
      </c>
      <c r="B154" s="55" t="s">
        <v>403</v>
      </c>
      <c r="C154" s="24" t="s">
        <v>72</v>
      </c>
      <c r="D154" s="28">
        <f>296569</f>
        <v>296569</v>
      </c>
      <c r="E154" s="14">
        <f t="shared" si="70"/>
        <v>216.8</v>
      </c>
      <c r="F154" s="14"/>
      <c r="G154" s="14"/>
      <c r="H154" s="44">
        <v>64295460</v>
      </c>
      <c r="I154" s="15"/>
      <c r="J154" s="15"/>
      <c r="K154" s="15"/>
      <c r="L154" s="15"/>
      <c r="M154" s="44"/>
      <c r="N154" s="44"/>
      <c r="O154" s="44">
        <f t="shared" si="73"/>
        <v>586374595</v>
      </c>
      <c r="P154" s="19">
        <f t="shared" si="74"/>
        <v>24041358</v>
      </c>
      <c r="Q154" s="19">
        <f t="shared" si="75"/>
        <v>610415953</v>
      </c>
      <c r="R154" s="6">
        <f t="shared" si="76"/>
        <v>4272912</v>
      </c>
      <c r="S154" s="6"/>
      <c r="T154" s="6"/>
      <c r="U154" s="121">
        <f t="shared" si="77"/>
        <v>2977265</v>
      </c>
      <c r="V154" s="121">
        <f t="shared" si="78"/>
        <v>683332</v>
      </c>
      <c r="W154" s="121">
        <f t="shared" si="79"/>
        <v>106703</v>
      </c>
      <c r="X154" s="6"/>
      <c r="Y154" s="6"/>
      <c r="Z154" s="6"/>
      <c r="AA154" s="19">
        <f t="shared" si="80"/>
        <v>618456165</v>
      </c>
      <c r="AB154" s="19">
        <f t="shared" si="81"/>
        <v>666460733</v>
      </c>
      <c r="AC154" s="15">
        <f t="shared" si="71"/>
        <v>2247.2399999999998</v>
      </c>
      <c r="AD154" s="15">
        <f t="shared" si="72"/>
        <v>666461719.55999994</v>
      </c>
      <c r="AE154" s="25"/>
      <c r="AF154" s="157">
        <f t="shared" si="69"/>
        <v>986.56</v>
      </c>
    </row>
    <row r="155" spans="1:32" s="4" customFormat="1" ht="25.5" x14ac:dyDescent="0.25">
      <c r="A155" s="65" t="s">
        <v>1318</v>
      </c>
      <c r="B155" s="55" t="s">
        <v>404</v>
      </c>
      <c r="C155" s="24" t="s">
        <v>72</v>
      </c>
      <c r="D155" s="28">
        <f>296569</f>
        <v>296569</v>
      </c>
      <c r="E155" s="14">
        <f t="shared" si="70"/>
        <v>129.63999999999999</v>
      </c>
      <c r="F155" s="14"/>
      <c r="G155" s="14"/>
      <c r="H155" s="44">
        <v>38448150</v>
      </c>
      <c r="I155" s="15"/>
      <c r="J155" s="15"/>
      <c r="K155" s="15"/>
      <c r="L155" s="15"/>
      <c r="M155" s="44"/>
      <c r="N155" s="44"/>
      <c r="O155" s="44">
        <f t="shared" si="73"/>
        <v>350647128</v>
      </c>
      <c r="P155" s="19">
        <f t="shared" si="74"/>
        <v>14376532</v>
      </c>
      <c r="Q155" s="19">
        <f t="shared" si="75"/>
        <v>365023660</v>
      </c>
      <c r="R155" s="6">
        <f t="shared" si="76"/>
        <v>2555166</v>
      </c>
      <c r="S155" s="6"/>
      <c r="T155" s="6"/>
      <c r="U155" s="121">
        <f t="shared" si="77"/>
        <v>1780380</v>
      </c>
      <c r="V155" s="121">
        <f t="shared" si="78"/>
        <v>408627</v>
      </c>
      <c r="W155" s="121">
        <f t="shared" si="79"/>
        <v>63807</v>
      </c>
      <c r="X155" s="6"/>
      <c r="Y155" s="6"/>
      <c r="Z155" s="6"/>
      <c r="AA155" s="19">
        <f t="shared" si="80"/>
        <v>369831640</v>
      </c>
      <c r="AB155" s="19">
        <f t="shared" si="81"/>
        <v>398537972</v>
      </c>
      <c r="AC155" s="15">
        <f t="shared" si="71"/>
        <v>1343.83</v>
      </c>
      <c r="AD155" s="15">
        <f t="shared" si="72"/>
        <v>398538319.26999998</v>
      </c>
      <c r="AE155" s="25"/>
      <c r="AF155" s="157">
        <f t="shared" si="69"/>
        <v>347.27</v>
      </c>
    </row>
    <row r="156" spans="1:32" s="4" customFormat="1" ht="25.5" x14ac:dyDescent="0.25">
      <c r="A156" s="65" t="s">
        <v>1319</v>
      </c>
      <c r="B156" s="55" t="s">
        <v>405</v>
      </c>
      <c r="C156" s="24" t="s">
        <v>72</v>
      </c>
      <c r="D156" s="28">
        <v>1688</v>
      </c>
      <c r="E156" s="14">
        <f t="shared" si="70"/>
        <v>80.62</v>
      </c>
      <c r="F156" s="14"/>
      <c r="G156" s="14"/>
      <c r="H156" s="44">
        <v>136085</v>
      </c>
      <c r="I156" s="15"/>
      <c r="J156" s="15"/>
      <c r="K156" s="15"/>
      <c r="L156" s="15"/>
      <c r="M156" s="44"/>
      <c r="N156" s="44"/>
      <c r="O156" s="44">
        <f t="shared" si="73"/>
        <v>1241095</v>
      </c>
      <c r="P156" s="19">
        <f t="shared" si="74"/>
        <v>50885</v>
      </c>
      <c r="Q156" s="19">
        <f t="shared" si="75"/>
        <v>1291980</v>
      </c>
      <c r="R156" s="6">
        <f t="shared" si="76"/>
        <v>9044</v>
      </c>
      <c r="S156" s="6"/>
      <c r="T156" s="6"/>
      <c r="U156" s="121">
        <f t="shared" si="77"/>
        <v>6302</v>
      </c>
      <c r="V156" s="121">
        <f t="shared" si="78"/>
        <v>1446</v>
      </c>
      <c r="W156" s="121">
        <f t="shared" si="79"/>
        <v>226</v>
      </c>
      <c r="X156" s="6"/>
      <c r="Y156" s="6"/>
      <c r="Z156" s="6"/>
      <c r="AA156" s="19">
        <f t="shared" si="80"/>
        <v>1308998</v>
      </c>
      <c r="AB156" s="19">
        <f t="shared" si="81"/>
        <v>1410602</v>
      </c>
      <c r="AC156" s="15">
        <f t="shared" si="71"/>
        <v>835.66</v>
      </c>
      <c r="AD156" s="15">
        <f t="shared" si="72"/>
        <v>1410594.08</v>
      </c>
      <c r="AE156" s="25"/>
      <c r="AF156" s="157">
        <f t="shared" si="69"/>
        <v>-7.92</v>
      </c>
    </row>
    <row r="157" spans="1:32" s="4" customFormat="1" ht="25.5" x14ac:dyDescent="0.25">
      <c r="A157" s="65" t="s">
        <v>1320</v>
      </c>
      <c r="B157" s="55" t="s">
        <v>406</v>
      </c>
      <c r="C157" s="24" t="s">
        <v>72</v>
      </c>
      <c r="D157" s="28">
        <v>1688</v>
      </c>
      <c r="E157" s="14">
        <f t="shared" si="70"/>
        <v>92.6</v>
      </c>
      <c r="F157" s="14"/>
      <c r="G157" s="14"/>
      <c r="H157" s="44">
        <v>156316</v>
      </c>
      <c r="I157" s="15"/>
      <c r="J157" s="15"/>
      <c r="K157" s="15"/>
      <c r="L157" s="15"/>
      <c r="M157" s="44"/>
      <c r="N157" s="44"/>
      <c r="O157" s="44">
        <f t="shared" si="73"/>
        <v>1425602</v>
      </c>
      <c r="P157" s="19">
        <f t="shared" si="74"/>
        <v>58450</v>
      </c>
      <c r="Q157" s="19">
        <f t="shared" si="75"/>
        <v>1484052</v>
      </c>
      <c r="R157" s="6">
        <f t="shared" si="76"/>
        <v>10388</v>
      </c>
      <c r="S157" s="6"/>
      <c r="T157" s="6"/>
      <c r="U157" s="121">
        <f t="shared" si="77"/>
        <v>7238</v>
      </c>
      <c r="V157" s="121">
        <f t="shared" si="78"/>
        <v>1661</v>
      </c>
      <c r="W157" s="121">
        <f t="shared" si="79"/>
        <v>259</v>
      </c>
      <c r="X157" s="6"/>
      <c r="Y157" s="6"/>
      <c r="Z157" s="6"/>
      <c r="AA157" s="19">
        <f t="shared" si="80"/>
        <v>1503598</v>
      </c>
      <c r="AB157" s="19">
        <f t="shared" si="81"/>
        <v>1620307</v>
      </c>
      <c r="AC157" s="15">
        <f t="shared" si="71"/>
        <v>959.9</v>
      </c>
      <c r="AD157" s="15">
        <f t="shared" si="72"/>
        <v>1620311.2</v>
      </c>
      <c r="AE157" s="25"/>
      <c r="AF157" s="157">
        <f t="shared" si="69"/>
        <v>4.2</v>
      </c>
    </row>
    <row r="158" spans="1:32" s="4" customFormat="1" x14ac:dyDescent="0.25">
      <c r="A158" s="65" t="s">
        <v>1321</v>
      </c>
      <c r="B158" s="55" t="s">
        <v>407</v>
      </c>
      <c r="C158" s="24" t="s">
        <v>70</v>
      </c>
      <c r="D158" s="28">
        <v>6410</v>
      </c>
      <c r="E158" s="14">
        <f t="shared" si="70"/>
        <v>331.7</v>
      </c>
      <c r="F158" s="14"/>
      <c r="G158" s="14"/>
      <c r="H158" s="44">
        <v>2126169</v>
      </c>
      <c r="I158" s="15"/>
      <c r="J158" s="15"/>
      <c r="K158" s="15"/>
      <c r="L158" s="15"/>
      <c r="M158" s="44"/>
      <c r="N158" s="44"/>
      <c r="O158" s="44">
        <f t="shared" si="73"/>
        <v>19390661</v>
      </c>
      <c r="P158" s="19">
        <f t="shared" si="74"/>
        <v>795017</v>
      </c>
      <c r="Q158" s="19">
        <f t="shared" si="75"/>
        <v>20185678</v>
      </c>
      <c r="R158" s="6">
        <f t="shared" si="76"/>
        <v>141300</v>
      </c>
      <c r="S158" s="6"/>
      <c r="T158" s="6"/>
      <c r="U158" s="121">
        <f t="shared" si="77"/>
        <v>98454</v>
      </c>
      <c r="V158" s="121">
        <f t="shared" si="78"/>
        <v>22597</v>
      </c>
      <c r="W158" s="121">
        <f t="shared" si="79"/>
        <v>3529</v>
      </c>
      <c r="X158" s="6"/>
      <c r="Y158" s="6"/>
      <c r="Z158" s="6"/>
      <c r="AA158" s="19">
        <f t="shared" si="80"/>
        <v>20451558</v>
      </c>
      <c r="AB158" s="19">
        <f t="shared" si="81"/>
        <v>22039008</v>
      </c>
      <c r="AC158" s="15">
        <f t="shared" si="71"/>
        <v>3438.22</v>
      </c>
      <c r="AD158" s="15">
        <f t="shared" si="72"/>
        <v>22038990.199999999</v>
      </c>
      <c r="AE158" s="25"/>
      <c r="AF158" s="157">
        <f t="shared" si="69"/>
        <v>-17.8</v>
      </c>
    </row>
    <row r="159" spans="1:32" s="4" customFormat="1" ht="25.5" x14ac:dyDescent="0.25">
      <c r="A159" s="65" t="s">
        <v>1322</v>
      </c>
      <c r="B159" s="55" t="s">
        <v>408</v>
      </c>
      <c r="C159" s="24" t="s">
        <v>72</v>
      </c>
      <c r="D159" s="28">
        <f>53988</f>
        <v>53988</v>
      </c>
      <c r="E159" s="14">
        <f t="shared" si="70"/>
        <v>46.51</v>
      </c>
      <c r="F159" s="14"/>
      <c r="G159" s="14"/>
      <c r="H159" s="44">
        <v>2510791</v>
      </c>
      <c r="I159" s="15"/>
      <c r="J159" s="15"/>
      <c r="K159" s="15"/>
      <c r="L159" s="15"/>
      <c r="M159" s="44"/>
      <c r="N159" s="44"/>
      <c r="O159" s="44">
        <f t="shared" si="73"/>
        <v>22898414</v>
      </c>
      <c r="P159" s="19">
        <f t="shared" si="74"/>
        <v>938835</v>
      </c>
      <c r="Q159" s="19">
        <f t="shared" si="75"/>
        <v>23837249</v>
      </c>
      <c r="R159" s="6">
        <f t="shared" si="76"/>
        <v>166861</v>
      </c>
      <c r="S159" s="6"/>
      <c r="T159" s="6"/>
      <c r="U159" s="121">
        <f t="shared" si="77"/>
        <v>116265</v>
      </c>
      <c r="V159" s="121">
        <f t="shared" si="78"/>
        <v>26685</v>
      </c>
      <c r="W159" s="121">
        <f t="shared" si="79"/>
        <v>4167</v>
      </c>
      <c r="X159" s="6"/>
      <c r="Y159" s="6"/>
      <c r="Z159" s="6"/>
      <c r="AA159" s="19">
        <f t="shared" si="80"/>
        <v>24151227</v>
      </c>
      <c r="AB159" s="19">
        <f t="shared" si="81"/>
        <v>26025845</v>
      </c>
      <c r="AC159" s="15">
        <f t="shared" si="71"/>
        <v>482.07</v>
      </c>
      <c r="AD159" s="15">
        <f t="shared" si="72"/>
        <v>26025995.16</v>
      </c>
      <c r="AE159" s="25"/>
      <c r="AF159" s="157">
        <f t="shared" si="69"/>
        <v>150.16</v>
      </c>
    </row>
    <row r="160" spans="1:32" s="4" customFormat="1" ht="25.5" x14ac:dyDescent="0.25">
      <c r="A160" s="65" t="s">
        <v>1323</v>
      </c>
      <c r="B160" s="55" t="s">
        <v>403</v>
      </c>
      <c r="C160" s="24" t="s">
        <v>72</v>
      </c>
      <c r="D160" s="28">
        <f>53988</f>
        <v>53988</v>
      </c>
      <c r="E160" s="14">
        <f t="shared" si="70"/>
        <v>226.83</v>
      </c>
      <c r="F160" s="14"/>
      <c r="G160" s="14"/>
      <c r="H160" s="44">
        <v>12245869</v>
      </c>
      <c r="I160" s="15"/>
      <c r="J160" s="15"/>
      <c r="K160" s="15"/>
      <c r="L160" s="15"/>
      <c r="M160" s="44"/>
      <c r="N160" s="44"/>
      <c r="O160" s="44">
        <f t="shared" si="73"/>
        <v>111682325</v>
      </c>
      <c r="P160" s="19">
        <f t="shared" si="74"/>
        <v>4578975</v>
      </c>
      <c r="Q160" s="19">
        <f t="shared" si="75"/>
        <v>116261300</v>
      </c>
      <c r="R160" s="6">
        <f t="shared" si="76"/>
        <v>813829</v>
      </c>
      <c r="S160" s="6"/>
      <c r="T160" s="6"/>
      <c r="U160" s="121">
        <f t="shared" si="77"/>
        <v>567057</v>
      </c>
      <c r="V160" s="121">
        <f t="shared" si="78"/>
        <v>130149</v>
      </c>
      <c r="W160" s="121">
        <f t="shared" si="79"/>
        <v>20323</v>
      </c>
      <c r="X160" s="6"/>
      <c r="Y160" s="6"/>
      <c r="Z160" s="6"/>
      <c r="AA160" s="19">
        <f t="shared" si="80"/>
        <v>117792658</v>
      </c>
      <c r="AB160" s="19">
        <f t="shared" si="81"/>
        <v>126935724</v>
      </c>
      <c r="AC160" s="15">
        <f t="shared" si="71"/>
        <v>2351.1799999999998</v>
      </c>
      <c r="AD160" s="15">
        <f t="shared" si="72"/>
        <v>126935505.84</v>
      </c>
      <c r="AE160" s="25"/>
      <c r="AF160" s="157">
        <f t="shared" si="69"/>
        <v>-218.16</v>
      </c>
    </row>
    <row r="161" spans="1:32" s="4" customFormat="1" ht="25.5" x14ac:dyDescent="0.25">
      <c r="A161" s="65" t="s">
        <v>1324</v>
      </c>
      <c r="B161" s="55" t="s">
        <v>404</v>
      </c>
      <c r="C161" s="24" t="s">
        <v>72</v>
      </c>
      <c r="D161" s="28">
        <f>53988</f>
        <v>53988</v>
      </c>
      <c r="E161" s="14">
        <f t="shared" si="70"/>
        <v>129.63999999999999</v>
      </c>
      <c r="F161" s="14"/>
      <c r="G161" s="14"/>
      <c r="H161" s="44">
        <v>6999187</v>
      </c>
      <c r="I161" s="15"/>
      <c r="J161" s="15"/>
      <c r="K161" s="15"/>
      <c r="L161" s="15"/>
      <c r="M161" s="44"/>
      <c r="N161" s="44"/>
      <c r="O161" s="44">
        <f t="shared" si="73"/>
        <v>63832585</v>
      </c>
      <c r="P161" s="19">
        <f t="shared" si="74"/>
        <v>2617136</v>
      </c>
      <c r="Q161" s="19">
        <f t="shared" si="75"/>
        <v>66449721</v>
      </c>
      <c r="R161" s="6">
        <f t="shared" si="76"/>
        <v>465148</v>
      </c>
      <c r="S161" s="6"/>
      <c r="T161" s="6"/>
      <c r="U161" s="121">
        <f t="shared" si="77"/>
        <v>324104</v>
      </c>
      <c r="V161" s="121">
        <f t="shared" si="78"/>
        <v>74387</v>
      </c>
      <c r="W161" s="121">
        <f t="shared" si="79"/>
        <v>11616</v>
      </c>
      <c r="X161" s="6"/>
      <c r="Y161" s="6"/>
      <c r="Z161" s="6"/>
      <c r="AA161" s="19">
        <f t="shared" si="80"/>
        <v>67324976</v>
      </c>
      <c r="AB161" s="19">
        <f t="shared" si="81"/>
        <v>72550741</v>
      </c>
      <c r="AC161" s="15">
        <f t="shared" si="71"/>
        <v>1343.83</v>
      </c>
      <c r="AD161" s="15">
        <f t="shared" si="72"/>
        <v>72550694.040000007</v>
      </c>
      <c r="AE161" s="25"/>
      <c r="AF161" s="157">
        <f t="shared" si="69"/>
        <v>-46.96</v>
      </c>
    </row>
    <row r="162" spans="1:32" s="4" customFormat="1" x14ac:dyDescent="0.25">
      <c r="A162" s="65" t="s">
        <v>1325</v>
      </c>
      <c r="B162" s="55" t="s">
        <v>409</v>
      </c>
      <c r="C162" s="24" t="s">
        <v>72</v>
      </c>
      <c r="D162" s="28">
        <f>17980</f>
        <v>17980</v>
      </c>
      <c r="E162" s="14">
        <f t="shared" si="70"/>
        <v>23.22</v>
      </c>
      <c r="F162" s="14"/>
      <c r="G162" s="14"/>
      <c r="H162" s="44">
        <v>417429</v>
      </c>
      <c r="I162" s="15"/>
      <c r="J162" s="15"/>
      <c r="K162" s="15"/>
      <c r="L162" s="15"/>
      <c r="M162" s="44"/>
      <c r="N162" s="44"/>
      <c r="O162" s="44">
        <f t="shared" si="73"/>
        <v>3806952</v>
      </c>
      <c r="P162" s="19">
        <f t="shared" si="74"/>
        <v>156085</v>
      </c>
      <c r="Q162" s="19">
        <f t="shared" si="75"/>
        <v>3963037</v>
      </c>
      <c r="R162" s="6">
        <f t="shared" si="76"/>
        <v>27741</v>
      </c>
      <c r="S162" s="6"/>
      <c r="T162" s="6"/>
      <c r="U162" s="121">
        <f t="shared" si="77"/>
        <v>19329</v>
      </c>
      <c r="V162" s="121">
        <f t="shared" si="78"/>
        <v>4436</v>
      </c>
      <c r="W162" s="121">
        <f t="shared" si="79"/>
        <v>693</v>
      </c>
      <c r="X162" s="6"/>
      <c r="Y162" s="6"/>
      <c r="Z162" s="6"/>
      <c r="AA162" s="19">
        <f t="shared" si="80"/>
        <v>4015236</v>
      </c>
      <c r="AB162" s="19">
        <f t="shared" si="81"/>
        <v>4326899</v>
      </c>
      <c r="AC162" s="15">
        <f t="shared" si="71"/>
        <v>240.65</v>
      </c>
      <c r="AD162" s="15">
        <f t="shared" si="72"/>
        <v>4326887</v>
      </c>
      <c r="AE162" s="25"/>
      <c r="AF162" s="157">
        <f t="shared" si="69"/>
        <v>-12</v>
      </c>
    </row>
    <row r="163" spans="1:32" s="4" customFormat="1" ht="25.5" x14ac:dyDescent="0.25">
      <c r="A163" s="65" t="s">
        <v>1326</v>
      </c>
      <c r="B163" s="55" t="s">
        <v>410</v>
      </c>
      <c r="C163" s="24" t="s">
        <v>72</v>
      </c>
      <c r="D163" s="28">
        <f>17393</f>
        <v>17393</v>
      </c>
      <c r="E163" s="14">
        <f t="shared" si="70"/>
        <v>40.78</v>
      </c>
      <c r="F163" s="14"/>
      <c r="G163" s="14"/>
      <c r="H163" s="44">
        <v>709328</v>
      </c>
      <c r="I163" s="15"/>
      <c r="J163" s="15"/>
      <c r="K163" s="15"/>
      <c r="L163" s="15"/>
      <c r="M163" s="44"/>
      <c r="N163" s="44"/>
      <c r="O163" s="44">
        <f t="shared" si="73"/>
        <v>6469071</v>
      </c>
      <c r="P163" s="19">
        <f t="shared" si="74"/>
        <v>265232</v>
      </c>
      <c r="Q163" s="19">
        <f t="shared" si="75"/>
        <v>6734303</v>
      </c>
      <c r="R163" s="6">
        <f t="shared" si="76"/>
        <v>47140</v>
      </c>
      <c r="S163" s="6"/>
      <c r="T163" s="6"/>
      <c r="U163" s="121">
        <f t="shared" si="77"/>
        <v>32846</v>
      </c>
      <c r="V163" s="121">
        <f t="shared" si="78"/>
        <v>7539</v>
      </c>
      <c r="W163" s="121">
        <f t="shared" si="79"/>
        <v>1177</v>
      </c>
      <c r="X163" s="6"/>
      <c r="Y163" s="6"/>
      <c r="Z163" s="6"/>
      <c r="AA163" s="19">
        <f t="shared" si="80"/>
        <v>6823005</v>
      </c>
      <c r="AB163" s="19">
        <f t="shared" si="81"/>
        <v>7352607</v>
      </c>
      <c r="AC163" s="15">
        <f t="shared" si="71"/>
        <v>422.73</v>
      </c>
      <c r="AD163" s="15">
        <f t="shared" si="72"/>
        <v>7352542.8899999997</v>
      </c>
      <c r="AE163" s="25"/>
      <c r="AF163" s="157">
        <f t="shared" si="69"/>
        <v>-64.11</v>
      </c>
    </row>
    <row r="164" spans="1:32" s="4" customFormat="1" x14ac:dyDescent="0.25">
      <c r="A164" s="65" t="s">
        <v>1327</v>
      </c>
      <c r="B164" s="55" t="s">
        <v>411</v>
      </c>
      <c r="C164" s="24" t="s">
        <v>72</v>
      </c>
      <c r="D164" s="28">
        <v>2400</v>
      </c>
      <c r="E164" s="14">
        <f t="shared" si="70"/>
        <v>97.1</v>
      </c>
      <c r="F164" s="14"/>
      <c r="G164" s="14"/>
      <c r="H164" s="44">
        <v>233029</v>
      </c>
      <c r="I164" s="15"/>
      <c r="J164" s="15"/>
      <c r="K164" s="15"/>
      <c r="L164" s="15"/>
      <c r="M164" s="44"/>
      <c r="N164" s="44"/>
      <c r="O164" s="44">
        <f t="shared" si="73"/>
        <v>2125224</v>
      </c>
      <c r="P164" s="19">
        <f t="shared" si="74"/>
        <v>87134</v>
      </c>
      <c r="Q164" s="19">
        <f t="shared" si="75"/>
        <v>2212358</v>
      </c>
      <c r="R164" s="6">
        <f t="shared" si="76"/>
        <v>15487</v>
      </c>
      <c r="S164" s="6"/>
      <c r="T164" s="6"/>
      <c r="U164" s="121">
        <f t="shared" si="77"/>
        <v>10791</v>
      </c>
      <c r="V164" s="121">
        <f t="shared" si="78"/>
        <v>2477</v>
      </c>
      <c r="W164" s="121">
        <f t="shared" si="79"/>
        <v>387</v>
      </c>
      <c r="X164" s="6"/>
      <c r="Y164" s="6"/>
      <c r="Z164" s="6"/>
      <c r="AA164" s="19">
        <f t="shared" si="80"/>
        <v>2241500</v>
      </c>
      <c r="AB164" s="19">
        <f t="shared" si="81"/>
        <v>2415485</v>
      </c>
      <c r="AC164" s="15">
        <f t="shared" si="71"/>
        <v>1006.45</v>
      </c>
      <c r="AD164" s="15">
        <f t="shared" si="72"/>
        <v>2415480</v>
      </c>
      <c r="AE164" s="25"/>
      <c r="AF164" s="157">
        <f t="shared" si="69"/>
        <v>-5</v>
      </c>
    </row>
    <row r="165" spans="1:32" s="4" customFormat="1" x14ac:dyDescent="0.25">
      <c r="A165" s="65" t="s">
        <v>1328</v>
      </c>
      <c r="B165" s="55" t="s">
        <v>412</v>
      </c>
      <c r="C165" s="24" t="s">
        <v>413</v>
      </c>
      <c r="D165" s="28">
        <f>14806</f>
        <v>14806</v>
      </c>
      <c r="E165" s="14">
        <f t="shared" si="70"/>
        <v>196.34</v>
      </c>
      <c r="F165" s="14"/>
      <c r="G165" s="14"/>
      <c r="H165" s="44">
        <v>2907021</v>
      </c>
      <c r="I165" s="15"/>
      <c r="J165" s="15"/>
      <c r="K165" s="15"/>
      <c r="L165" s="15"/>
      <c r="M165" s="44"/>
      <c r="N165" s="44"/>
      <c r="O165" s="44">
        <f t="shared" si="73"/>
        <v>26512032</v>
      </c>
      <c r="P165" s="19">
        <f t="shared" si="74"/>
        <v>1086993</v>
      </c>
      <c r="Q165" s="19">
        <f t="shared" si="75"/>
        <v>27599025</v>
      </c>
      <c r="R165" s="6">
        <f t="shared" si="76"/>
        <v>193193</v>
      </c>
      <c r="S165" s="6"/>
      <c r="T165" s="6"/>
      <c r="U165" s="121">
        <f t="shared" si="77"/>
        <v>134613</v>
      </c>
      <c r="V165" s="121">
        <f t="shared" si="78"/>
        <v>30896</v>
      </c>
      <c r="W165" s="121">
        <f t="shared" si="79"/>
        <v>4824</v>
      </c>
      <c r="X165" s="6"/>
      <c r="Y165" s="6"/>
      <c r="Z165" s="6"/>
      <c r="AA165" s="19">
        <f t="shared" si="80"/>
        <v>27962551</v>
      </c>
      <c r="AB165" s="19">
        <f t="shared" si="81"/>
        <v>30133004</v>
      </c>
      <c r="AC165" s="15">
        <f t="shared" si="71"/>
        <v>2035.19</v>
      </c>
      <c r="AD165" s="15">
        <f t="shared" si="72"/>
        <v>30133023.140000001</v>
      </c>
      <c r="AE165" s="25"/>
      <c r="AF165" s="157">
        <f t="shared" si="69"/>
        <v>19.14</v>
      </c>
    </row>
    <row r="166" spans="1:32" s="4" customFormat="1" ht="25.5" x14ac:dyDescent="0.25">
      <c r="A166" s="65" t="s">
        <v>1329</v>
      </c>
      <c r="B166" s="55" t="s">
        <v>414</v>
      </c>
      <c r="C166" s="24" t="s">
        <v>67</v>
      </c>
      <c r="D166" s="28">
        <v>304</v>
      </c>
      <c r="E166" s="14">
        <f t="shared" si="70"/>
        <v>1146.1300000000001</v>
      </c>
      <c r="F166" s="14"/>
      <c r="G166" s="14"/>
      <c r="H166" s="44">
        <v>348425</v>
      </c>
      <c r="I166" s="15"/>
      <c r="J166" s="15"/>
      <c r="K166" s="15"/>
      <c r="L166" s="15"/>
      <c r="M166" s="44"/>
      <c r="N166" s="44"/>
      <c r="O166" s="44">
        <f t="shared" si="73"/>
        <v>3177636</v>
      </c>
      <c r="P166" s="19">
        <f t="shared" si="74"/>
        <v>130283</v>
      </c>
      <c r="Q166" s="19">
        <f t="shared" si="75"/>
        <v>3307919</v>
      </c>
      <c r="R166" s="6">
        <f t="shared" si="76"/>
        <v>23155</v>
      </c>
      <c r="S166" s="6"/>
      <c r="T166" s="6"/>
      <c r="U166" s="121">
        <f t="shared" si="77"/>
        <v>16134</v>
      </c>
      <c r="V166" s="121">
        <f t="shared" si="78"/>
        <v>3703</v>
      </c>
      <c r="W166" s="121">
        <f t="shared" si="79"/>
        <v>578</v>
      </c>
      <c r="X166" s="6"/>
      <c r="Y166" s="6"/>
      <c r="Z166" s="6"/>
      <c r="AA166" s="19">
        <f t="shared" si="80"/>
        <v>3351489</v>
      </c>
      <c r="AB166" s="19">
        <f t="shared" si="81"/>
        <v>3611632</v>
      </c>
      <c r="AC166" s="15">
        <f t="shared" si="71"/>
        <v>11880.37</v>
      </c>
      <c r="AD166" s="15">
        <f t="shared" si="72"/>
        <v>3611632.48</v>
      </c>
      <c r="AE166" s="25"/>
      <c r="AF166" s="157">
        <f t="shared" si="69"/>
        <v>0.48</v>
      </c>
    </row>
    <row r="167" spans="1:32" s="4" customFormat="1" ht="25.5" x14ac:dyDescent="0.25">
      <c r="A167" s="65" t="s">
        <v>1330</v>
      </c>
      <c r="B167" s="55" t="s">
        <v>415</v>
      </c>
      <c r="C167" s="24" t="s">
        <v>67</v>
      </c>
      <c r="D167" s="28">
        <v>14</v>
      </c>
      <c r="E167" s="14">
        <f t="shared" si="70"/>
        <v>1503.43</v>
      </c>
      <c r="F167" s="14"/>
      <c r="G167" s="14"/>
      <c r="H167" s="44">
        <v>21048</v>
      </c>
      <c r="I167" s="15"/>
      <c r="J167" s="15"/>
      <c r="K167" s="15"/>
      <c r="L167" s="15"/>
      <c r="M167" s="44"/>
      <c r="N167" s="44"/>
      <c r="O167" s="44">
        <f t="shared" si="73"/>
        <v>191958</v>
      </c>
      <c r="P167" s="19">
        <f t="shared" si="74"/>
        <v>7870</v>
      </c>
      <c r="Q167" s="19">
        <f t="shared" si="75"/>
        <v>199828</v>
      </c>
      <c r="R167" s="6">
        <f t="shared" si="76"/>
        <v>1399</v>
      </c>
      <c r="S167" s="6"/>
      <c r="T167" s="6"/>
      <c r="U167" s="121">
        <f t="shared" si="77"/>
        <v>975</v>
      </c>
      <c r="V167" s="121">
        <f t="shared" si="78"/>
        <v>224</v>
      </c>
      <c r="W167" s="121">
        <f t="shared" si="79"/>
        <v>35</v>
      </c>
      <c r="X167" s="6"/>
      <c r="Y167" s="6"/>
      <c r="Z167" s="6"/>
      <c r="AA167" s="19">
        <f t="shared" si="80"/>
        <v>202461</v>
      </c>
      <c r="AB167" s="19">
        <f t="shared" si="81"/>
        <v>218176</v>
      </c>
      <c r="AC167" s="15">
        <f t="shared" si="71"/>
        <v>15584</v>
      </c>
      <c r="AD167" s="15">
        <f t="shared" si="72"/>
        <v>218176</v>
      </c>
      <c r="AE167" s="25"/>
      <c r="AF167" s="157">
        <f t="shared" si="69"/>
        <v>0</v>
      </c>
    </row>
    <row r="168" spans="1:32" s="4" customFormat="1" ht="25.5" x14ac:dyDescent="0.25">
      <c r="A168" s="65" t="s">
        <v>1331</v>
      </c>
      <c r="B168" s="55" t="s">
        <v>416</v>
      </c>
      <c r="C168" s="24" t="s">
        <v>67</v>
      </c>
      <c r="D168" s="28">
        <v>12</v>
      </c>
      <c r="E168" s="14">
        <f t="shared" si="70"/>
        <v>5402.5</v>
      </c>
      <c r="F168" s="14"/>
      <c r="G168" s="14"/>
      <c r="H168" s="44">
        <v>64830</v>
      </c>
      <c r="I168" s="15"/>
      <c r="J168" s="15"/>
      <c r="K168" s="15"/>
      <c r="L168" s="15"/>
      <c r="M168" s="44"/>
      <c r="N168" s="44"/>
      <c r="O168" s="44">
        <f t="shared" si="73"/>
        <v>591250</v>
      </c>
      <c r="P168" s="19">
        <f t="shared" si="74"/>
        <v>24241</v>
      </c>
      <c r="Q168" s="19">
        <f t="shared" si="75"/>
        <v>615491</v>
      </c>
      <c r="R168" s="6">
        <f t="shared" si="76"/>
        <v>4308</v>
      </c>
      <c r="S168" s="6"/>
      <c r="T168" s="6"/>
      <c r="U168" s="121">
        <f t="shared" si="77"/>
        <v>3002</v>
      </c>
      <c r="V168" s="121">
        <f t="shared" si="78"/>
        <v>689</v>
      </c>
      <c r="W168" s="121">
        <f t="shared" si="79"/>
        <v>108</v>
      </c>
      <c r="X168" s="6"/>
      <c r="Y168" s="6"/>
      <c r="Z168" s="6"/>
      <c r="AA168" s="19">
        <f t="shared" si="80"/>
        <v>623598</v>
      </c>
      <c r="AB168" s="19">
        <f t="shared" si="81"/>
        <v>672002</v>
      </c>
      <c r="AC168" s="15">
        <f t="shared" si="71"/>
        <v>56000.17</v>
      </c>
      <c r="AD168" s="15">
        <f t="shared" si="72"/>
        <v>672002.04</v>
      </c>
      <c r="AE168" s="25"/>
      <c r="AF168" s="157">
        <f t="shared" si="69"/>
        <v>0.04</v>
      </c>
    </row>
    <row r="169" spans="1:32" s="4" customFormat="1" x14ac:dyDescent="0.25">
      <c r="A169" s="65" t="s">
        <v>1332</v>
      </c>
      <c r="B169" s="55" t="s">
        <v>417</v>
      </c>
      <c r="C169" s="24" t="s">
        <v>67</v>
      </c>
      <c r="D169" s="28">
        <v>1756</v>
      </c>
      <c r="E169" s="14">
        <f t="shared" si="70"/>
        <v>894.4</v>
      </c>
      <c r="F169" s="14"/>
      <c r="G169" s="14"/>
      <c r="H169" s="44">
        <v>1570565</v>
      </c>
      <c r="I169" s="15"/>
      <c r="J169" s="15"/>
      <c r="K169" s="15"/>
      <c r="L169" s="15"/>
      <c r="M169" s="44"/>
      <c r="N169" s="44"/>
      <c r="O169" s="44">
        <f t="shared" si="73"/>
        <v>14323553</v>
      </c>
      <c r="P169" s="19">
        <f t="shared" si="74"/>
        <v>587266</v>
      </c>
      <c r="Q169" s="19">
        <f t="shared" si="75"/>
        <v>14910819</v>
      </c>
      <c r="R169" s="6">
        <f t="shared" si="76"/>
        <v>104376</v>
      </c>
      <c r="S169" s="6"/>
      <c r="T169" s="6"/>
      <c r="U169" s="121">
        <f t="shared" si="77"/>
        <v>72727</v>
      </c>
      <c r="V169" s="121">
        <f t="shared" si="78"/>
        <v>16692</v>
      </c>
      <c r="W169" s="121">
        <f t="shared" si="79"/>
        <v>2606</v>
      </c>
      <c r="X169" s="6"/>
      <c r="Y169" s="6"/>
      <c r="Z169" s="6"/>
      <c r="AA169" s="19">
        <f t="shared" si="80"/>
        <v>15107220</v>
      </c>
      <c r="AB169" s="19">
        <f t="shared" si="81"/>
        <v>16279842</v>
      </c>
      <c r="AC169" s="15">
        <f t="shared" si="71"/>
        <v>9270.98</v>
      </c>
      <c r="AD169" s="15">
        <f t="shared" si="72"/>
        <v>16279840.880000001</v>
      </c>
      <c r="AE169" s="25"/>
      <c r="AF169" s="157">
        <f t="shared" si="69"/>
        <v>-1.1200000000000001</v>
      </c>
    </row>
    <row r="170" spans="1:32" s="4" customFormat="1" x14ac:dyDescent="0.25">
      <c r="A170" s="65" t="s">
        <v>1333</v>
      </c>
      <c r="B170" s="55" t="s">
        <v>418</v>
      </c>
      <c r="C170" s="24" t="s">
        <v>67</v>
      </c>
      <c r="D170" s="28">
        <v>98</v>
      </c>
      <c r="E170" s="14">
        <f t="shared" si="70"/>
        <v>3259.89</v>
      </c>
      <c r="F170" s="14"/>
      <c r="G170" s="14"/>
      <c r="H170" s="44">
        <v>319469</v>
      </c>
      <c r="I170" s="15"/>
      <c r="J170" s="15"/>
      <c r="K170" s="15"/>
      <c r="L170" s="15"/>
      <c r="M170" s="44"/>
      <c r="N170" s="44"/>
      <c r="O170" s="44">
        <f t="shared" si="73"/>
        <v>2913557</v>
      </c>
      <c r="P170" s="19">
        <f t="shared" si="74"/>
        <v>119456</v>
      </c>
      <c r="Q170" s="19">
        <f t="shared" si="75"/>
        <v>3033013</v>
      </c>
      <c r="R170" s="6">
        <f t="shared" si="76"/>
        <v>21231</v>
      </c>
      <c r="S170" s="6"/>
      <c r="T170" s="6"/>
      <c r="U170" s="121">
        <f t="shared" si="77"/>
        <v>14793</v>
      </c>
      <c r="V170" s="121">
        <f t="shared" si="78"/>
        <v>3395</v>
      </c>
      <c r="W170" s="121">
        <f t="shared" si="79"/>
        <v>530</v>
      </c>
      <c r="X170" s="6"/>
      <c r="Y170" s="6"/>
      <c r="Z170" s="6"/>
      <c r="AA170" s="19">
        <f t="shared" si="80"/>
        <v>3072962</v>
      </c>
      <c r="AB170" s="19">
        <f t="shared" si="81"/>
        <v>3311485</v>
      </c>
      <c r="AC170" s="15">
        <f t="shared" si="71"/>
        <v>33790.660000000003</v>
      </c>
      <c r="AD170" s="15">
        <f t="shared" si="72"/>
        <v>3311484.68</v>
      </c>
      <c r="AE170" s="25"/>
      <c r="AF170" s="157">
        <f t="shared" si="69"/>
        <v>-0.32</v>
      </c>
    </row>
    <row r="171" spans="1:32" s="4" customFormat="1" ht="25.5" x14ac:dyDescent="0.25">
      <c r="A171" s="65" t="s">
        <v>1334</v>
      </c>
      <c r="B171" s="55" t="s">
        <v>419</v>
      </c>
      <c r="C171" s="24" t="s">
        <v>67</v>
      </c>
      <c r="D171" s="28">
        <v>147</v>
      </c>
      <c r="E171" s="14">
        <f t="shared" si="70"/>
        <v>3743.69</v>
      </c>
      <c r="F171" s="14"/>
      <c r="G171" s="14"/>
      <c r="H171" s="44">
        <v>550323</v>
      </c>
      <c r="I171" s="15"/>
      <c r="J171" s="15"/>
      <c r="K171" s="15"/>
      <c r="L171" s="15"/>
      <c r="M171" s="44"/>
      <c r="N171" s="44"/>
      <c r="O171" s="44">
        <f t="shared" si="73"/>
        <v>5018946</v>
      </c>
      <c r="P171" s="19">
        <f t="shared" si="74"/>
        <v>205777</v>
      </c>
      <c r="Q171" s="19">
        <f t="shared" si="75"/>
        <v>5224723</v>
      </c>
      <c r="R171" s="6">
        <f t="shared" si="76"/>
        <v>36573</v>
      </c>
      <c r="S171" s="6"/>
      <c r="T171" s="6"/>
      <c r="U171" s="121">
        <f t="shared" si="77"/>
        <v>25483</v>
      </c>
      <c r="V171" s="121">
        <f t="shared" si="78"/>
        <v>5849</v>
      </c>
      <c r="W171" s="121">
        <f t="shared" si="79"/>
        <v>913</v>
      </c>
      <c r="X171" s="6"/>
      <c r="Y171" s="6"/>
      <c r="Z171" s="6"/>
      <c r="AA171" s="19">
        <f t="shared" si="80"/>
        <v>5293541</v>
      </c>
      <c r="AB171" s="19">
        <f t="shared" si="81"/>
        <v>5704426</v>
      </c>
      <c r="AC171" s="15">
        <f t="shared" si="71"/>
        <v>38805.620000000003</v>
      </c>
      <c r="AD171" s="15">
        <f t="shared" si="72"/>
        <v>5704426.1399999997</v>
      </c>
      <c r="AE171" s="25"/>
      <c r="AF171" s="157">
        <f t="shared" si="69"/>
        <v>0.14000000000000001</v>
      </c>
    </row>
    <row r="172" spans="1:32" s="4" customFormat="1" x14ac:dyDescent="0.25">
      <c r="A172" s="65" t="s">
        <v>1335</v>
      </c>
      <c r="B172" s="55" t="s">
        <v>420</v>
      </c>
      <c r="C172" s="24" t="s">
        <v>67</v>
      </c>
      <c r="D172" s="28">
        <v>85</v>
      </c>
      <c r="E172" s="14">
        <f t="shared" si="70"/>
        <v>1857.96</v>
      </c>
      <c r="F172" s="14"/>
      <c r="G172" s="14"/>
      <c r="H172" s="44">
        <v>157927</v>
      </c>
      <c r="I172" s="15"/>
      <c r="J172" s="15"/>
      <c r="K172" s="15"/>
      <c r="L172" s="15"/>
      <c r="M172" s="44"/>
      <c r="N172" s="44"/>
      <c r="O172" s="44">
        <f t="shared" si="73"/>
        <v>1440294</v>
      </c>
      <c r="P172" s="19">
        <f t="shared" si="74"/>
        <v>59052</v>
      </c>
      <c r="Q172" s="19">
        <f t="shared" si="75"/>
        <v>1499346</v>
      </c>
      <c r="R172" s="6">
        <f t="shared" si="76"/>
        <v>10495</v>
      </c>
      <c r="S172" s="6"/>
      <c r="T172" s="6"/>
      <c r="U172" s="121">
        <f t="shared" si="77"/>
        <v>7313</v>
      </c>
      <c r="V172" s="121">
        <f t="shared" si="78"/>
        <v>1678</v>
      </c>
      <c r="W172" s="121">
        <f t="shared" si="79"/>
        <v>262</v>
      </c>
      <c r="X172" s="6"/>
      <c r="Y172" s="6"/>
      <c r="Z172" s="6"/>
      <c r="AA172" s="19">
        <f t="shared" si="80"/>
        <v>1519094</v>
      </c>
      <c r="AB172" s="19">
        <f t="shared" si="81"/>
        <v>1637006</v>
      </c>
      <c r="AC172" s="15">
        <f t="shared" si="71"/>
        <v>19258.89</v>
      </c>
      <c r="AD172" s="15">
        <f t="shared" si="72"/>
        <v>1637005.65</v>
      </c>
      <c r="AE172" s="25"/>
      <c r="AF172" s="157">
        <f t="shared" si="69"/>
        <v>-0.35</v>
      </c>
    </row>
    <row r="173" spans="1:32" s="4" customFormat="1" x14ac:dyDescent="0.25">
      <c r="A173" s="65" t="s">
        <v>1336</v>
      </c>
      <c r="B173" s="55" t="s">
        <v>1459</v>
      </c>
      <c r="C173" s="24" t="s">
        <v>413</v>
      </c>
      <c r="D173" s="28">
        <v>338</v>
      </c>
      <c r="E173" s="14">
        <f t="shared" si="70"/>
        <v>202.81</v>
      </c>
      <c r="F173" s="14"/>
      <c r="G173" s="14"/>
      <c r="H173" s="44">
        <v>68549</v>
      </c>
      <c r="I173" s="15"/>
      <c r="J173" s="15"/>
      <c r="K173" s="15"/>
      <c r="L173" s="15"/>
      <c r="M173" s="44"/>
      <c r="N173" s="44"/>
      <c r="O173" s="44">
        <f t="shared" si="73"/>
        <v>625167</v>
      </c>
      <c r="P173" s="19">
        <f t="shared" si="74"/>
        <v>25632</v>
      </c>
      <c r="Q173" s="19">
        <f t="shared" si="75"/>
        <v>650799</v>
      </c>
      <c r="R173" s="6">
        <f t="shared" si="76"/>
        <v>4556</v>
      </c>
      <c r="S173" s="6"/>
      <c r="T173" s="6"/>
      <c r="U173" s="121">
        <f t="shared" si="77"/>
        <v>3174</v>
      </c>
      <c r="V173" s="121">
        <f t="shared" si="78"/>
        <v>729</v>
      </c>
      <c r="W173" s="121">
        <f t="shared" si="79"/>
        <v>114</v>
      </c>
      <c r="X173" s="6"/>
      <c r="Y173" s="6"/>
      <c r="Z173" s="6"/>
      <c r="AA173" s="19">
        <f t="shared" si="80"/>
        <v>659372</v>
      </c>
      <c r="AB173" s="19">
        <f t="shared" si="81"/>
        <v>710552</v>
      </c>
      <c r="AC173" s="15">
        <f t="shared" si="71"/>
        <v>2102.2199999999998</v>
      </c>
      <c r="AD173" s="15">
        <f t="shared" si="72"/>
        <v>710550.36</v>
      </c>
      <c r="AE173" s="25"/>
      <c r="AF173" s="157">
        <f t="shared" si="69"/>
        <v>-1.64</v>
      </c>
    </row>
    <row r="174" spans="1:32" s="4" customFormat="1" x14ac:dyDescent="0.25">
      <c r="A174" s="10" t="s">
        <v>116</v>
      </c>
      <c r="B174" s="17" t="s">
        <v>1501</v>
      </c>
      <c r="C174" s="12"/>
      <c r="D174" s="13"/>
      <c r="E174" s="18"/>
      <c r="F174" s="18"/>
      <c r="G174" s="18"/>
      <c r="H174" s="22"/>
      <c r="I174" s="15"/>
      <c r="J174" s="15"/>
      <c r="K174" s="15"/>
      <c r="L174" s="15"/>
      <c r="M174" s="22"/>
      <c r="N174" s="22"/>
      <c r="O174" s="22"/>
      <c r="P174" s="22"/>
      <c r="Q174" s="19"/>
      <c r="R174" s="6"/>
      <c r="S174" s="6"/>
      <c r="T174" s="6"/>
      <c r="U174" s="121"/>
      <c r="V174" s="121"/>
      <c r="W174" s="121"/>
      <c r="X174" s="125"/>
      <c r="Y174" s="6"/>
      <c r="Z174" s="6"/>
      <c r="AA174" s="19"/>
      <c r="AB174" s="19"/>
      <c r="AC174" s="15"/>
      <c r="AD174" s="15"/>
      <c r="AE174" s="25"/>
      <c r="AF174" s="157">
        <f t="shared" si="69"/>
        <v>0</v>
      </c>
    </row>
    <row r="175" spans="1:32" s="4" customFormat="1" x14ac:dyDescent="0.25">
      <c r="A175" s="10" t="s">
        <v>117</v>
      </c>
      <c r="B175" s="17" t="s">
        <v>118</v>
      </c>
      <c r="C175" s="12"/>
      <c r="D175" s="13"/>
      <c r="E175" s="18"/>
      <c r="F175" s="18"/>
      <c r="G175" s="18"/>
      <c r="H175" s="22"/>
      <c r="I175" s="15"/>
      <c r="J175" s="124"/>
      <c r="K175" s="15"/>
      <c r="L175" s="15"/>
      <c r="M175" s="22"/>
      <c r="N175" s="22"/>
      <c r="O175" s="22"/>
      <c r="P175" s="22"/>
      <c r="Q175" s="19"/>
      <c r="R175" s="6"/>
      <c r="S175" s="6"/>
      <c r="T175" s="6"/>
      <c r="U175" s="121"/>
      <c r="V175" s="121"/>
      <c r="W175" s="121"/>
      <c r="X175" s="6"/>
      <c r="Y175" s="6"/>
      <c r="Z175" s="6"/>
      <c r="AA175" s="19"/>
      <c r="AB175" s="19"/>
      <c r="AC175" s="15"/>
      <c r="AD175" s="15"/>
      <c r="AE175" s="25"/>
      <c r="AF175" s="157">
        <f t="shared" si="69"/>
        <v>0</v>
      </c>
    </row>
    <row r="176" spans="1:32" s="91" customFormat="1" x14ac:dyDescent="0.25">
      <c r="A176" s="87" t="s">
        <v>119</v>
      </c>
      <c r="B176" s="101" t="s">
        <v>239</v>
      </c>
      <c r="C176" s="103"/>
      <c r="D176" s="93"/>
      <c r="E176" s="106"/>
      <c r="F176" s="106"/>
      <c r="G176" s="106"/>
      <c r="H176" s="99">
        <v>18624260</v>
      </c>
      <c r="I176" s="41"/>
      <c r="J176" s="95">
        <f>18624.26*1000</f>
        <v>18624260</v>
      </c>
      <c r="K176" s="20" t="s">
        <v>11</v>
      </c>
      <c r="L176" s="20">
        <f>H176-J176</f>
        <v>0</v>
      </c>
      <c r="M176" s="95">
        <v>252358790</v>
      </c>
      <c r="N176" s="50">
        <f>SUM(O178:O234)-M176</f>
        <v>-28</v>
      </c>
      <c r="O176" s="95"/>
      <c r="P176" s="114"/>
      <c r="Q176" s="50"/>
      <c r="R176" s="50"/>
      <c r="S176" s="104"/>
      <c r="T176" s="104"/>
      <c r="U176" s="122"/>
      <c r="V176" s="122"/>
      <c r="W176" s="122"/>
      <c r="X176" s="104"/>
      <c r="Y176" s="168"/>
      <c r="Z176" s="104"/>
      <c r="AA176" s="50"/>
      <c r="AB176" s="50"/>
      <c r="AC176" s="20"/>
      <c r="AD176" s="20"/>
      <c r="AE176" s="97"/>
      <c r="AF176" s="157">
        <f t="shared" si="69"/>
        <v>0</v>
      </c>
    </row>
    <row r="177" spans="1:32" s="4" customFormat="1" x14ac:dyDescent="0.25">
      <c r="A177" s="23" t="s">
        <v>120</v>
      </c>
      <c r="B177" s="26" t="s">
        <v>121</v>
      </c>
      <c r="C177" s="21"/>
      <c r="D177" s="212"/>
      <c r="E177" s="213"/>
      <c r="F177" s="213"/>
      <c r="G177" s="214">
        <f>741957.57/SUM(F178:F234)</f>
        <v>4.1491159999999999E-2</v>
      </c>
      <c r="H177" s="31">
        <f>H176-SUM(H178:H234)</f>
        <v>-3</v>
      </c>
      <c r="I177" s="32"/>
      <c r="J177" s="22"/>
      <c r="K177" s="15"/>
      <c r="L177" s="15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25"/>
      <c r="AF177" s="157">
        <f t="shared" si="69"/>
        <v>0</v>
      </c>
    </row>
    <row r="178" spans="1:32" s="4" customFormat="1" x14ac:dyDescent="0.25">
      <c r="A178" s="64" t="s">
        <v>122</v>
      </c>
      <c r="B178" s="69" t="s">
        <v>123</v>
      </c>
      <c r="C178" s="12" t="s">
        <v>70</v>
      </c>
      <c r="D178" s="13">
        <v>233.73</v>
      </c>
      <c r="E178" s="18"/>
      <c r="F178" s="215">
        <v>1675464</v>
      </c>
      <c r="G178" s="215">
        <f>F178*$G$177</f>
        <v>69517</v>
      </c>
      <c r="H178" s="19">
        <f t="shared" ref="H178:H212" si="82">F178+G178</f>
        <v>1744981</v>
      </c>
      <c r="I178" s="15"/>
      <c r="J178" s="22"/>
      <c r="K178" s="15"/>
      <c r="L178" s="15"/>
      <c r="M178" s="22"/>
      <c r="N178" s="22"/>
      <c r="O178" s="22">
        <f>H178*13.55</f>
        <v>23644493</v>
      </c>
      <c r="P178" s="19">
        <f>O178*10.1%</f>
        <v>2388094</v>
      </c>
      <c r="Q178" s="19">
        <f>SUM(O178:P178)</f>
        <v>26032587</v>
      </c>
      <c r="R178" s="6">
        <f>Q178*1.05%</f>
        <v>273342</v>
      </c>
      <c r="S178" s="6"/>
      <c r="T178" s="6"/>
      <c r="U178" s="122">
        <f t="shared" ref="U178:U185" si="83">Q178*$U$6</f>
        <v>2001049</v>
      </c>
      <c r="V178" s="122">
        <f t="shared" ref="V178:V185" si="84">Q178*$V$6</f>
        <v>30652</v>
      </c>
      <c r="W178" s="122">
        <f t="shared" ref="W178:W185" si="85">Q178*$W$6</f>
        <v>2349881</v>
      </c>
      <c r="X178" s="6"/>
      <c r="Y178" s="168">
        <f t="shared" ref="Y178:Y185" si="86">Q178*$Y$7</f>
        <v>488338</v>
      </c>
      <c r="Z178" s="6"/>
      <c r="AA178" s="19">
        <f t="shared" ref="AA178:AA185" si="87">SUM(Q178:Z178)</f>
        <v>31175849</v>
      </c>
      <c r="AB178" s="19">
        <f t="shared" ref="AB178:AB185" si="88">$AA178*AB$7</f>
        <v>33595718</v>
      </c>
      <c r="AC178" s="15">
        <f t="shared" ref="AC178:AC185" si="89">AB178/D178</f>
        <v>143737.29999999999</v>
      </c>
      <c r="AD178" s="15">
        <f t="shared" ref="AD178:AD185" si="90">AC178*D178</f>
        <v>33595719.130000003</v>
      </c>
      <c r="AE178" s="25"/>
      <c r="AF178" s="157">
        <f t="shared" ref="AF178:AF181" si="91">AD178-AB178</f>
        <v>1.1299999999999999</v>
      </c>
    </row>
    <row r="179" spans="1:32" s="4" customFormat="1" x14ac:dyDescent="0.25">
      <c r="A179" s="64" t="s">
        <v>860</v>
      </c>
      <c r="B179" s="69" t="s">
        <v>867</v>
      </c>
      <c r="C179" s="12" t="s">
        <v>70</v>
      </c>
      <c r="D179" s="13">
        <v>19</v>
      </c>
      <c r="E179" s="18"/>
      <c r="F179" s="215">
        <v>14991</v>
      </c>
      <c r="G179" s="215">
        <f t="shared" ref="G179:G234" si="92">F179*$G$177</f>
        <v>622</v>
      </c>
      <c r="H179" s="19">
        <f t="shared" si="82"/>
        <v>15613</v>
      </c>
      <c r="I179" s="15"/>
      <c r="J179" s="22"/>
      <c r="K179" s="15"/>
      <c r="L179" s="15"/>
      <c r="M179" s="22"/>
      <c r="N179" s="22"/>
      <c r="O179" s="22">
        <f t="shared" ref="O179:O234" si="93">H179*13.55</f>
        <v>211556</v>
      </c>
      <c r="P179" s="19">
        <f t="shared" ref="P179:P234" si="94">O179*10.1%</f>
        <v>21367</v>
      </c>
      <c r="Q179" s="19">
        <f t="shared" ref="Q179:Q234" si="95">SUM(O179:P179)</f>
        <v>232923</v>
      </c>
      <c r="R179" s="6">
        <f t="shared" ref="R179:R234" si="96">Q179*1.05%</f>
        <v>2446</v>
      </c>
      <c r="S179" s="6"/>
      <c r="T179" s="6"/>
      <c r="U179" s="122">
        <f t="shared" si="83"/>
        <v>17904</v>
      </c>
      <c r="V179" s="122">
        <f t="shared" si="84"/>
        <v>274</v>
      </c>
      <c r="W179" s="122">
        <f t="shared" si="85"/>
        <v>21025</v>
      </c>
      <c r="X179" s="6"/>
      <c r="Y179" s="168">
        <f t="shared" si="86"/>
        <v>4369</v>
      </c>
      <c r="Z179" s="6"/>
      <c r="AA179" s="19">
        <f t="shared" si="87"/>
        <v>278941</v>
      </c>
      <c r="AB179" s="19">
        <f t="shared" si="88"/>
        <v>300592</v>
      </c>
      <c r="AC179" s="15">
        <f t="shared" si="89"/>
        <v>15820.63</v>
      </c>
      <c r="AD179" s="15">
        <f t="shared" si="90"/>
        <v>300591.96999999997</v>
      </c>
      <c r="AE179" s="25"/>
      <c r="AF179" s="157">
        <f t="shared" si="91"/>
        <v>-0.03</v>
      </c>
    </row>
    <row r="180" spans="1:32" s="4" customFormat="1" x14ac:dyDescent="0.25">
      <c r="A180" s="64" t="s">
        <v>861</v>
      </c>
      <c r="B180" s="69" t="s">
        <v>868</v>
      </c>
      <c r="C180" s="12" t="s">
        <v>70</v>
      </c>
      <c r="D180" s="13">
        <v>236.2</v>
      </c>
      <c r="E180" s="18"/>
      <c r="F180" s="215">
        <v>643887</v>
      </c>
      <c r="G180" s="215">
        <f t="shared" si="92"/>
        <v>26716</v>
      </c>
      <c r="H180" s="19">
        <f t="shared" si="82"/>
        <v>670603</v>
      </c>
      <c r="I180" s="15"/>
      <c r="J180" s="22"/>
      <c r="K180" s="15"/>
      <c r="L180" s="15"/>
      <c r="M180" s="22"/>
      <c r="N180" s="22"/>
      <c r="O180" s="22">
        <f t="shared" si="93"/>
        <v>9086671</v>
      </c>
      <c r="P180" s="19">
        <f t="shared" si="94"/>
        <v>917754</v>
      </c>
      <c r="Q180" s="19">
        <f t="shared" si="95"/>
        <v>10004425</v>
      </c>
      <c r="R180" s="6">
        <f t="shared" si="96"/>
        <v>105046</v>
      </c>
      <c r="S180" s="6"/>
      <c r="T180" s="6"/>
      <c r="U180" s="122">
        <f t="shared" si="83"/>
        <v>769011</v>
      </c>
      <c r="V180" s="122">
        <f t="shared" si="84"/>
        <v>11780</v>
      </c>
      <c r="W180" s="122">
        <f t="shared" si="85"/>
        <v>903069</v>
      </c>
      <c r="X180" s="6"/>
      <c r="Y180" s="168">
        <f t="shared" si="86"/>
        <v>187670</v>
      </c>
      <c r="Z180" s="6"/>
      <c r="AA180" s="19">
        <f t="shared" si="87"/>
        <v>11981001</v>
      </c>
      <c r="AB180" s="19">
        <f t="shared" si="88"/>
        <v>12910966</v>
      </c>
      <c r="AC180" s="15">
        <f t="shared" si="89"/>
        <v>54661.16</v>
      </c>
      <c r="AD180" s="15">
        <f t="shared" si="90"/>
        <v>12910965.99</v>
      </c>
      <c r="AE180" s="25"/>
      <c r="AF180" s="157">
        <f t="shared" si="91"/>
        <v>-0.01</v>
      </c>
    </row>
    <row r="181" spans="1:32" s="4" customFormat="1" x14ac:dyDescent="0.25">
      <c r="A181" s="64" t="s">
        <v>862</v>
      </c>
      <c r="B181" s="69" t="s">
        <v>869</v>
      </c>
      <c r="C181" s="12" t="s">
        <v>70</v>
      </c>
      <c r="D181" s="13">
        <v>60</v>
      </c>
      <c r="E181" s="18"/>
      <c r="F181" s="215">
        <v>662787</v>
      </c>
      <c r="G181" s="215">
        <f t="shared" si="92"/>
        <v>27500</v>
      </c>
      <c r="H181" s="19">
        <f t="shared" si="82"/>
        <v>690287</v>
      </c>
      <c r="I181" s="15"/>
      <c r="J181" s="22"/>
      <c r="K181" s="15"/>
      <c r="L181" s="15"/>
      <c r="M181" s="22"/>
      <c r="N181" s="22"/>
      <c r="O181" s="22">
        <f t="shared" si="93"/>
        <v>9353389</v>
      </c>
      <c r="P181" s="19">
        <f t="shared" si="94"/>
        <v>944692</v>
      </c>
      <c r="Q181" s="19">
        <f t="shared" si="95"/>
        <v>10298081</v>
      </c>
      <c r="R181" s="6">
        <f t="shared" si="96"/>
        <v>108130</v>
      </c>
      <c r="S181" s="6"/>
      <c r="T181" s="6"/>
      <c r="U181" s="122">
        <f t="shared" si="83"/>
        <v>791583</v>
      </c>
      <c r="V181" s="122">
        <f t="shared" si="84"/>
        <v>12125</v>
      </c>
      <c r="W181" s="122">
        <f t="shared" si="85"/>
        <v>929576</v>
      </c>
      <c r="X181" s="6"/>
      <c r="Y181" s="168">
        <f t="shared" si="86"/>
        <v>193179</v>
      </c>
      <c r="Z181" s="6"/>
      <c r="AA181" s="19">
        <f t="shared" si="87"/>
        <v>12332674</v>
      </c>
      <c r="AB181" s="19">
        <f t="shared" si="88"/>
        <v>13289936</v>
      </c>
      <c r="AC181" s="15">
        <f t="shared" si="89"/>
        <v>221498.93</v>
      </c>
      <c r="AD181" s="15">
        <f t="shared" si="90"/>
        <v>13289935.800000001</v>
      </c>
      <c r="AE181" s="25"/>
      <c r="AF181" s="157">
        <f t="shared" si="91"/>
        <v>-0.2</v>
      </c>
    </row>
    <row r="182" spans="1:32" s="4" customFormat="1" x14ac:dyDescent="0.25">
      <c r="A182" s="64" t="s">
        <v>863</v>
      </c>
      <c r="B182" s="69" t="s">
        <v>870</v>
      </c>
      <c r="C182" s="12" t="s">
        <v>70</v>
      </c>
      <c r="D182" s="13">
        <v>79.900000000000006</v>
      </c>
      <c r="E182" s="18"/>
      <c r="F182" s="215">
        <v>573909</v>
      </c>
      <c r="G182" s="215">
        <f t="shared" si="92"/>
        <v>23812</v>
      </c>
      <c r="H182" s="19">
        <f t="shared" si="82"/>
        <v>597721</v>
      </c>
      <c r="I182" s="15"/>
      <c r="J182" s="22"/>
      <c r="K182" s="15"/>
      <c r="L182" s="15"/>
      <c r="M182" s="22"/>
      <c r="N182" s="22"/>
      <c r="O182" s="22">
        <f t="shared" si="93"/>
        <v>8099120</v>
      </c>
      <c r="P182" s="19">
        <f t="shared" si="94"/>
        <v>818011</v>
      </c>
      <c r="Q182" s="19">
        <f t="shared" si="95"/>
        <v>8917131</v>
      </c>
      <c r="R182" s="6">
        <f t="shared" si="96"/>
        <v>93630</v>
      </c>
      <c r="S182" s="6"/>
      <c r="T182" s="6"/>
      <c r="U182" s="122">
        <f t="shared" si="83"/>
        <v>685434</v>
      </c>
      <c r="V182" s="122">
        <f t="shared" si="84"/>
        <v>10499</v>
      </c>
      <c r="W182" s="122">
        <f t="shared" si="85"/>
        <v>804922</v>
      </c>
      <c r="X182" s="6"/>
      <c r="Y182" s="168">
        <f t="shared" si="86"/>
        <v>167274</v>
      </c>
      <c r="Z182" s="6"/>
      <c r="AA182" s="19">
        <f t="shared" si="87"/>
        <v>10678890</v>
      </c>
      <c r="AB182" s="19">
        <f t="shared" si="88"/>
        <v>11507785</v>
      </c>
      <c r="AC182" s="15">
        <f t="shared" si="89"/>
        <v>144027.35</v>
      </c>
      <c r="AD182" s="15">
        <f t="shared" si="90"/>
        <v>11507785.27</v>
      </c>
      <c r="AE182" s="25"/>
      <c r="AF182" s="157">
        <f t="shared" si="69"/>
        <v>0.27</v>
      </c>
    </row>
    <row r="183" spans="1:32" s="4" customFormat="1" ht="25.5" x14ac:dyDescent="0.25">
      <c r="A183" s="64" t="s">
        <v>864</v>
      </c>
      <c r="B183" s="69" t="s">
        <v>871</v>
      </c>
      <c r="C183" s="12" t="s">
        <v>70</v>
      </c>
      <c r="D183" s="13">
        <v>65.400000000000006</v>
      </c>
      <c r="E183" s="18"/>
      <c r="F183" s="215">
        <v>508179</v>
      </c>
      <c r="G183" s="215">
        <f t="shared" si="92"/>
        <v>21085</v>
      </c>
      <c r="H183" s="19">
        <f t="shared" si="82"/>
        <v>529264</v>
      </c>
      <c r="I183" s="15"/>
      <c r="J183" s="22"/>
      <c r="K183" s="15"/>
      <c r="L183" s="15"/>
      <c r="M183" s="22"/>
      <c r="N183" s="22"/>
      <c r="O183" s="22">
        <f t="shared" si="93"/>
        <v>7171527</v>
      </c>
      <c r="P183" s="19">
        <f t="shared" si="94"/>
        <v>724324</v>
      </c>
      <c r="Q183" s="19">
        <f t="shared" si="95"/>
        <v>7895851</v>
      </c>
      <c r="R183" s="6">
        <f t="shared" si="96"/>
        <v>82906</v>
      </c>
      <c r="S183" s="6"/>
      <c r="T183" s="6"/>
      <c r="U183" s="122">
        <f t="shared" si="83"/>
        <v>606931</v>
      </c>
      <c r="V183" s="122">
        <f t="shared" si="84"/>
        <v>9297</v>
      </c>
      <c r="W183" s="122">
        <f t="shared" si="85"/>
        <v>712734</v>
      </c>
      <c r="X183" s="6"/>
      <c r="Y183" s="168">
        <f t="shared" si="86"/>
        <v>148116</v>
      </c>
      <c r="Z183" s="6"/>
      <c r="AA183" s="19">
        <f t="shared" si="87"/>
        <v>9455835</v>
      </c>
      <c r="AB183" s="19">
        <f t="shared" si="88"/>
        <v>10189797</v>
      </c>
      <c r="AC183" s="15">
        <f t="shared" si="89"/>
        <v>155807.29</v>
      </c>
      <c r="AD183" s="15">
        <f t="shared" si="90"/>
        <v>10189796.77</v>
      </c>
      <c r="AE183" s="25"/>
      <c r="AF183" s="157">
        <f t="shared" ref="AF183" si="97">AD183-AB183</f>
        <v>-0.23</v>
      </c>
    </row>
    <row r="184" spans="1:32" s="4" customFormat="1" x14ac:dyDescent="0.25">
      <c r="A184" s="64" t="s">
        <v>865</v>
      </c>
      <c r="B184" s="69" t="s">
        <v>872</v>
      </c>
      <c r="C184" s="12" t="s">
        <v>72</v>
      </c>
      <c r="D184" s="13">
        <v>936</v>
      </c>
      <c r="E184" s="18"/>
      <c r="F184" s="215">
        <v>81162</v>
      </c>
      <c r="G184" s="215">
        <f t="shared" si="92"/>
        <v>3368</v>
      </c>
      <c r="H184" s="19">
        <f t="shared" si="82"/>
        <v>84530</v>
      </c>
      <c r="I184" s="15"/>
      <c r="J184" s="22"/>
      <c r="K184" s="15"/>
      <c r="L184" s="15"/>
      <c r="M184" s="22"/>
      <c r="N184" s="22"/>
      <c r="O184" s="22">
        <f t="shared" si="93"/>
        <v>1145382</v>
      </c>
      <c r="P184" s="19">
        <f t="shared" si="94"/>
        <v>115684</v>
      </c>
      <c r="Q184" s="19">
        <f t="shared" si="95"/>
        <v>1261066</v>
      </c>
      <c r="R184" s="6">
        <f t="shared" si="96"/>
        <v>13241</v>
      </c>
      <c r="S184" s="6"/>
      <c r="T184" s="6"/>
      <c r="U184" s="122">
        <f t="shared" si="83"/>
        <v>96934</v>
      </c>
      <c r="V184" s="122">
        <f t="shared" si="84"/>
        <v>1485</v>
      </c>
      <c r="W184" s="122">
        <f t="shared" si="85"/>
        <v>113833</v>
      </c>
      <c r="X184" s="6"/>
      <c r="Y184" s="168">
        <f t="shared" si="86"/>
        <v>23656</v>
      </c>
      <c r="Z184" s="6"/>
      <c r="AA184" s="19">
        <f t="shared" si="87"/>
        <v>1510215</v>
      </c>
      <c r="AB184" s="19">
        <f t="shared" si="88"/>
        <v>1627438</v>
      </c>
      <c r="AC184" s="15">
        <f t="shared" si="89"/>
        <v>1738.72</v>
      </c>
      <c r="AD184" s="15">
        <f t="shared" si="90"/>
        <v>1627441.92</v>
      </c>
      <c r="AE184" s="25"/>
      <c r="AF184" s="157">
        <f t="shared" ref="AF184" si="98">AD184-AB184</f>
        <v>3.92</v>
      </c>
    </row>
    <row r="185" spans="1:32" s="4" customFormat="1" ht="25.5" x14ac:dyDescent="0.25">
      <c r="A185" s="64" t="s">
        <v>866</v>
      </c>
      <c r="B185" s="69" t="s">
        <v>873</v>
      </c>
      <c r="C185" s="12" t="s">
        <v>72</v>
      </c>
      <c r="D185" s="13">
        <v>246</v>
      </c>
      <c r="E185" s="18"/>
      <c r="F185" s="215">
        <v>11995</v>
      </c>
      <c r="G185" s="215">
        <f t="shared" si="92"/>
        <v>498</v>
      </c>
      <c r="H185" s="19">
        <f t="shared" si="82"/>
        <v>12493</v>
      </c>
      <c r="I185" s="15"/>
      <c r="J185" s="22"/>
      <c r="K185" s="15"/>
      <c r="L185" s="15"/>
      <c r="M185" s="22"/>
      <c r="N185" s="22"/>
      <c r="O185" s="22">
        <f t="shared" si="93"/>
        <v>169280</v>
      </c>
      <c r="P185" s="19">
        <f t="shared" si="94"/>
        <v>17097</v>
      </c>
      <c r="Q185" s="19">
        <f t="shared" si="95"/>
        <v>186377</v>
      </c>
      <c r="R185" s="6">
        <f t="shared" si="96"/>
        <v>1957</v>
      </c>
      <c r="S185" s="6"/>
      <c r="T185" s="6"/>
      <c r="U185" s="122">
        <f t="shared" si="83"/>
        <v>14326</v>
      </c>
      <c r="V185" s="122">
        <f t="shared" si="84"/>
        <v>219</v>
      </c>
      <c r="W185" s="122">
        <f t="shared" si="85"/>
        <v>16824</v>
      </c>
      <c r="X185" s="6"/>
      <c r="Y185" s="168">
        <f t="shared" si="86"/>
        <v>3496</v>
      </c>
      <c r="Z185" s="6"/>
      <c r="AA185" s="19">
        <f t="shared" si="87"/>
        <v>223199</v>
      </c>
      <c r="AB185" s="19">
        <f t="shared" si="88"/>
        <v>240524</v>
      </c>
      <c r="AC185" s="15">
        <f t="shared" si="89"/>
        <v>977.74</v>
      </c>
      <c r="AD185" s="15">
        <f t="shared" si="90"/>
        <v>240524.04</v>
      </c>
      <c r="AE185" s="25"/>
      <c r="AF185" s="157">
        <f t="shared" si="69"/>
        <v>0.04</v>
      </c>
    </row>
    <row r="186" spans="1:32" s="4" customFormat="1" x14ac:dyDescent="0.25">
      <c r="A186" s="23" t="s">
        <v>917</v>
      </c>
      <c r="B186" s="26" t="s">
        <v>874</v>
      </c>
      <c r="C186" s="21"/>
      <c r="D186" s="212"/>
      <c r="E186" s="213"/>
      <c r="F186" s="216"/>
      <c r="G186" s="215"/>
      <c r="H186" s="19"/>
      <c r="I186" s="32"/>
      <c r="J186" s="22"/>
      <c r="K186" s="15"/>
      <c r="L186" s="15"/>
      <c r="M186" s="31"/>
      <c r="N186" s="31"/>
      <c r="O186" s="22"/>
      <c r="P186" s="19"/>
      <c r="Q186" s="19"/>
      <c r="R186" s="6"/>
      <c r="S186" s="6"/>
      <c r="T186" s="6"/>
      <c r="U186" s="122"/>
      <c r="V186" s="122"/>
      <c r="W186" s="122"/>
      <c r="X186" s="6"/>
      <c r="Y186" s="168"/>
      <c r="Z186" s="6"/>
      <c r="AA186" s="19"/>
      <c r="AB186" s="19"/>
      <c r="AC186" s="15"/>
      <c r="AD186" s="15"/>
      <c r="AE186" s="25"/>
      <c r="AF186" s="157">
        <f t="shared" ref="AF186:AF212" si="99">AD186-AB186</f>
        <v>0</v>
      </c>
    </row>
    <row r="187" spans="1:32" s="4" customFormat="1" x14ac:dyDescent="0.25">
      <c r="A187" s="64" t="s">
        <v>918</v>
      </c>
      <c r="B187" s="69" t="s">
        <v>123</v>
      </c>
      <c r="C187" s="12" t="s">
        <v>70</v>
      </c>
      <c r="D187" s="13">
        <v>86.31</v>
      </c>
      <c r="E187" s="18"/>
      <c r="F187" s="215">
        <v>671219</v>
      </c>
      <c r="G187" s="215">
        <f t="shared" si="92"/>
        <v>27850</v>
      </c>
      <c r="H187" s="19">
        <f t="shared" si="82"/>
        <v>699069</v>
      </c>
      <c r="I187" s="15"/>
      <c r="J187" s="22"/>
      <c r="K187" s="15"/>
      <c r="L187" s="15"/>
      <c r="M187" s="22"/>
      <c r="N187" s="22"/>
      <c r="O187" s="22">
        <f t="shared" si="93"/>
        <v>9472385</v>
      </c>
      <c r="P187" s="19">
        <f t="shared" si="94"/>
        <v>956711</v>
      </c>
      <c r="Q187" s="19">
        <f t="shared" si="95"/>
        <v>10429096</v>
      </c>
      <c r="R187" s="6">
        <f t="shared" si="96"/>
        <v>109506</v>
      </c>
      <c r="S187" s="6"/>
      <c r="T187" s="6"/>
      <c r="U187" s="122">
        <f t="shared" ref="U187:U192" si="100">Q187*$U$6</f>
        <v>801654</v>
      </c>
      <c r="V187" s="122">
        <f t="shared" ref="V187:V192" si="101">Q187*$V$6</f>
        <v>12280</v>
      </c>
      <c r="W187" s="122">
        <f t="shared" ref="W187:W192" si="102">Q187*$W$6</f>
        <v>941402</v>
      </c>
      <c r="X187" s="6"/>
      <c r="Y187" s="168">
        <f t="shared" ref="Y187:Y192" si="103">Q187*$Y$7</f>
        <v>195636</v>
      </c>
      <c r="Z187" s="6"/>
      <c r="AA187" s="19">
        <f t="shared" ref="AA187:AA192" si="104">SUM(Q187:Z187)</f>
        <v>12489574</v>
      </c>
      <c r="AB187" s="19">
        <f t="shared" ref="AB187:AB192" si="105">$AA187*AB$7</f>
        <v>13459015</v>
      </c>
      <c r="AC187" s="15">
        <f t="shared" ref="AC187:AC192" si="106">AB187/D187</f>
        <v>155938.07</v>
      </c>
      <c r="AD187" s="15">
        <f t="shared" ref="AD187:AD192" si="107">AC187*D187</f>
        <v>13459014.82</v>
      </c>
      <c r="AE187" s="25"/>
      <c r="AF187" s="157">
        <f t="shared" si="99"/>
        <v>-0.18</v>
      </c>
    </row>
    <row r="188" spans="1:32" s="4" customFormat="1" x14ac:dyDescent="0.25">
      <c r="A188" s="64" t="s">
        <v>919</v>
      </c>
      <c r="B188" s="69" t="s">
        <v>867</v>
      </c>
      <c r="C188" s="12" t="s">
        <v>70</v>
      </c>
      <c r="D188" s="13">
        <v>8.3000000000000007</v>
      </c>
      <c r="E188" s="18"/>
      <c r="F188" s="215">
        <v>6549</v>
      </c>
      <c r="G188" s="215">
        <f t="shared" si="92"/>
        <v>272</v>
      </c>
      <c r="H188" s="19">
        <f t="shared" si="82"/>
        <v>6821</v>
      </c>
      <c r="I188" s="15"/>
      <c r="J188" s="22"/>
      <c r="K188" s="15"/>
      <c r="L188" s="15"/>
      <c r="M188" s="22"/>
      <c r="N188" s="22"/>
      <c r="O188" s="22">
        <f t="shared" si="93"/>
        <v>92425</v>
      </c>
      <c r="P188" s="19">
        <f t="shared" si="94"/>
        <v>9335</v>
      </c>
      <c r="Q188" s="19">
        <f t="shared" si="95"/>
        <v>101760</v>
      </c>
      <c r="R188" s="6">
        <f t="shared" si="96"/>
        <v>1068</v>
      </c>
      <c r="S188" s="6"/>
      <c r="T188" s="6"/>
      <c r="U188" s="122">
        <f t="shared" si="100"/>
        <v>7822</v>
      </c>
      <c r="V188" s="122">
        <f t="shared" si="101"/>
        <v>120</v>
      </c>
      <c r="W188" s="122">
        <f t="shared" si="102"/>
        <v>9186</v>
      </c>
      <c r="X188" s="6"/>
      <c r="Y188" s="168">
        <f t="shared" si="103"/>
        <v>1909</v>
      </c>
      <c r="Z188" s="6"/>
      <c r="AA188" s="19">
        <f t="shared" si="104"/>
        <v>121865</v>
      </c>
      <c r="AB188" s="19">
        <f t="shared" si="105"/>
        <v>131324</v>
      </c>
      <c r="AC188" s="15">
        <f t="shared" si="106"/>
        <v>15822.17</v>
      </c>
      <c r="AD188" s="15">
        <f t="shared" si="107"/>
        <v>131324.01</v>
      </c>
      <c r="AE188" s="25"/>
      <c r="AF188" s="157">
        <f t="shared" si="99"/>
        <v>0.01</v>
      </c>
    </row>
    <row r="189" spans="1:32" s="4" customFormat="1" x14ac:dyDescent="0.25">
      <c r="A189" s="64" t="s">
        <v>920</v>
      </c>
      <c r="B189" s="69" t="s">
        <v>868</v>
      </c>
      <c r="C189" s="12" t="s">
        <v>70</v>
      </c>
      <c r="D189" s="13">
        <v>101.3</v>
      </c>
      <c r="E189" s="18"/>
      <c r="F189" s="215">
        <v>380276</v>
      </c>
      <c r="G189" s="215">
        <f t="shared" si="92"/>
        <v>15778</v>
      </c>
      <c r="H189" s="19">
        <f t="shared" si="82"/>
        <v>396054</v>
      </c>
      <c r="I189" s="15"/>
      <c r="J189" s="22"/>
      <c r="K189" s="15"/>
      <c r="L189" s="15"/>
      <c r="M189" s="22"/>
      <c r="N189" s="22"/>
      <c r="O189" s="22">
        <f t="shared" si="93"/>
        <v>5366532</v>
      </c>
      <c r="P189" s="19">
        <f t="shared" si="94"/>
        <v>542020</v>
      </c>
      <c r="Q189" s="19">
        <f t="shared" si="95"/>
        <v>5908552</v>
      </c>
      <c r="R189" s="6">
        <f t="shared" si="96"/>
        <v>62040</v>
      </c>
      <c r="S189" s="6"/>
      <c r="T189" s="6"/>
      <c r="U189" s="122">
        <f t="shared" si="100"/>
        <v>454173</v>
      </c>
      <c r="V189" s="122">
        <f t="shared" si="101"/>
        <v>6957</v>
      </c>
      <c r="W189" s="122">
        <f t="shared" si="102"/>
        <v>533347</v>
      </c>
      <c r="X189" s="6"/>
      <c r="Y189" s="168">
        <f t="shared" si="103"/>
        <v>110837</v>
      </c>
      <c r="Z189" s="6"/>
      <c r="AA189" s="19">
        <f t="shared" si="104"/>
        <v>7075906</v>
      </c>
      <c r="AB189" s="19">
        <f t="shared" si="105"/>
        <v>7625138</v>
      </c>
      <c r="AC189" s="15">
        <f t="shared" si="106"/>
        <v>75272.83</v>
      </c>
      <c r="AD189" s="15">
        <f t="shared" si="107"/>
        <v>7625137.6799999997</v>
      </c>
      <c r="AE189" s="25"/>
      <c r="AF189" s="157">
        <f t="shared" si="99"/>
        <v>-0.32</v>
      </c>
    </row>
    <row r="190" spans="1:32" s="4" customFormat="1" x14ac:dyDescent="0.25">
      <c r="A190" s="64" t="s">
        <v>921</v>
      </c>
      <c r="B190" s="69" t="s">
        <v>869</v>
      </c>
      <c r="C190" s="12" t="s">
        <v>70</v>
      </c>
      <c r="D190" s="13">
        <v>19.8</v>
      </c>
      <c r="E190" s="18"/>
      <c r="F190" s="215">
        <v>237599</v>
      </c>
      <c r="G190" s="215">
        <f t="shared" si="92"/>
        <v>9858</v>
      </c>
      <c r="H190" s="19">
        <f t="shared" si="82"/>
        <v>247457</v>
      </c>
      <c r="I190" s="15"/>
      <c r="J190" s="22"/>
      <c r="K190" s="15"/>
      <c r="L190" s="15"/>
      <c r="M190" s="22"/>
      <c r="N190" s="22"/>
      <c r="O190" s="22">
        <f t="shared" si="93"/>
        <v>3353042</v>
      </c>
      <c r="P190" s="19">
        <f t="shared" si="94"/>
        <v>338657</v>
      </c>
      <c r="Q190" s="19">
        <f t="shared" si="95"/>
        <v>3691699</v>
      </c>
      <c r="R190" s="6">
        <f t="shared" si="96"/>
        <v>38763</v>
      </c>
      <c r="S190" s="6"/>
      <c r="T190" s="6"/>
      <c r="U190" s="122">
        <f t="shared" si="100"/>
        <v>283770</v>
      </c>
      <c r="V190" s="122">
        <f t="shared" si="101"/>
        <v>4347</v>
      </c>
      <c r="W190" s="122">
        <f t="shared" si="102"/>
        <v>333238</v>
      </c>
      <c r="X190" s="6"/>
      <c r="Y190" s="168">
        <f t="shared" si="103"/>
        <v>69252</v>
      </c>
      <c r="Z190" s="6"/>
      <c r="AA190" s="19">
        <f t="shared" si="104"/>
        <v>4421069</v>
      </c>
      <c r="AB190" s="19">
        <f t="shared" si="105"/>
        <v>4764232</v>
      </c>
      <c r="AC190" s="15">
        <f t="shared" si="106"/>
        <v>240617.78</v>
      </c>
      <c r="AD190" s="15">
        <f t="shared" si="107"/>
        <v>4764232.04</v>
      </c>
      <c r="AE190" s="25"/>
      <c r="AF190" s="157">
        <f t="shared" si="99"/>
        <v>0.04</v>
      </c>
    </row>
    <row r="191" spans="1:32" s="4" customFormat="1" ht="25.5" x14ac:dyDescent="0.25">
      <c r="A191" s="64" t="s">
        <v>922</v>
      </c>
      <c r="B191" s="69" t="s">
        <v>875</v>
      </c>
      <c r="C191" s="12" t="s">
        <v>70</v>
      </c>
      <c r="D191" s="13">
        <v>73.8</v>
      </c>
      <c r="E191" s="18"/>
      <c r="F191" s="215">
        <v>725844</v>
      </c>
      <c r="G191" s="215">
        <f t="shared" si="92"/>
        <v>30116</v>
      </c>
      <c r="H191" s="19">
        <f t="shared" si="82"/>
        <v>755960</v>
      </c>
      <c r="I191" s="15"/>
      <c r="J191" s="22"/>
      <c r="K191" s="15"/>
      <c r="L191" s="15"/>
      <c r="M191" s="22"/>
      <c r="N191" s="22"/>
      <c r="O191" s="22">
        <f t="shared" si="93"/>
        <v>10243258</v>
      </c>
      <c r="P191" s="19">
        <f t="shared" si="94"/>
        <v>1034569</v>
      </c>
      <c r="Q191" s="19">
        <f t="shared" si="95"/>
        <v>11277827</v>
      </c>
      <c r="R191" s="6">
        <f t="shared" si="96"/>
        <v>118417</v>
      </c>
      <c r="S191" s="6"/>
      <c r="T191" s="6"/>
      <c r="U191" s="122">
        <f t="shared" si="100"/>
        <v>866893</v>
      </c>
      <c r="V191" s="122">
        <f t="shared" si="101"/>
        <v>13279</v>
      </c>
      <c r="W191" s="122">
        <f t="shared" si="102"/>
        <v>1018015</v>
      </c>
      <c r="X191" s="6"/>
      <c r="Y191" s="168">
        <f t="shared" si="103"/>
        <v>211557</v>
      </c>
      <c r="Z191" s="6"/>
      <c r="AA191" s="19">
        <f t="shared" si="104"/>
        <v>13505988</v>
      </c>
      <c r="AB191" s="19">
        <f t="shared" si="105"/>
        <v>14554323</v>
      </c>
      <c r="AC191" s="15">
        <f t="shared" si="106"/>
        <v>197213.05</v>
      </c>
      <c r="AD191" s="15">
        <f t="shared" si="107"/>
        <v>14554323.09</v>
      </c>
      <c r="AE191" s="25"/>
      <c r="AF191" s="157">
        <f t="shared" si="99"/>
        <v>0.09</v>
      </c>
    </row>
    <row r="192" spans="1:32" s="4" customFormat="1" ht="25.5" x14ac:dyDescent="0.25">
      <c r="A192" s="64" t="s">
        <v>923</v>
      </c>
      <c r="B192" s="69" t="s">
        <v>876</v>
      </c>
      <c r="C192" s="12" t="s">
        <v>72</v>
      </c>
      <c r="D192" s="13">
        <v>229</v>
      </c>
      <c r="E192" s="18"/>
      <c r="F192" s="215">
        <v>13161</v>
      </c>
      <c r="G192" s="215">
        <f t="shared" si="92"/>
        <v>546</v>
      </c>
      <c r="H192" s="19">
        <f t="shared" si="82"/>
        <v>13707</v>
      </c>
      <c r="I192" s="15"/>
      <c r="J192" s="22"/>
      <c r="K192" s="15"/>
      <c r="L192" s="15"/>
      <c r="M192" s="22"/>
      <c r="N192" s="22"/>
      <c r="O192" s="22">
        <f t="shared" si="93"/>
        <v>185730</v>
      </c>
      <c r="P192" s="19">
        <f t="shared" si="94"/>
        <v>18759</v>
      </c>
      <c r="Q192" s="19">
        <f t="shared" si="95"/>
        <v>204489</v>
      </c>
      <c r="R192" s="6">
        <f t="shared" si="96"/>
        <v>2147</v>
      </c>
      <c r="S192" s="6"/>
      <c r="T192" s="6"/>
      <c r="U192" s="122">
        <f t="shared" si="100"/>
        <v>15718</v>
      </c>
      <c r="V192" s="122">
        <f t="shared" si="101"/>
        <v>241</v>
      </c>
      <c r="W192" s="122">
        <f t="shared" si="102"/>
        <v>18459</v>
      </c>
      <c r="X192" s="6"/>
      <c r="Y192" s="168">
        <f t="shared" si="103"/>
        <v>3836</v>
      </c>
      <c r="Z192" s="6"/>
      <c r="AA192" s="19">
        <f t="shared" si="104"/>
        <v>244890</v>
      </c>
      <c r="AB192" s="19">
        <f t="shared" si="105"/>
        <v>263898</v>
      </c>
      <c r="AC192" s="15">
        <f t="shared" si="106"/>
        <v>1152.3900000000001</v>
      </c>
      <c r="AD192" s="15">
        <f t="shared" si="107"/>
        <v>263897.31</v>
      </c>
      <c r="AE192" s="25"/>
      <c r="AF192" s="157">
        <f t="shared" si="99"/>
        <v>-0.69</v>
      </c>
    </row>
    <row r="193" spans="1:32" s="4" customFormat="1" ht="25.5" x14ac:dyDescent="0.25">
      <c r="A193" s="23" t="s">
        <v>924</v>
      </c>
      <c r="B193" s="26" t="s">
        <v>877</v>
      </c>
      <c r="C193" s="21"/>
      <c r="D193" s="212"/>
      <c r="E193" s="213"/>
      <c r="F193" s="216"/>
      <c r="G193" s="215"/>
      <c r="H193" s="19"/>
      <c r="I193" s="32"/>
      <c r="J193" s="22"/>
      <c r="K193" s="15"/>
      <c r="L193" s="15"/>
      <c r="M193" s="31"/>
      <c r="N193" s="31"/>
      <c r="O193" s="22"/>
      <c r="P193" s="19"/>
      <c r="Q193" s="19"/>
      <c r="R193" s="6"/>
      <c r="S193" s="6"/>
      <c r="T193" s="6"/>
      <c r="U193" s="122"/>
      <c r="V193" s="122"/>
      <c r="W193" s="122"/>
      <c r="X193" s="6"/>
      <c r="Y193" s="168"/>
      <c r="Z193" s="6"/>
      <c r="AA193" s="19"/>
      <c r="AB193" s="19"/>
      <c r="AC193" s="15"/>
      <c r="AD193" s="15"/>
      <c r="AE193" s="25"/>
      <c r="AF193" s="157">
        <f t="shared" si="99"/>
        <v>0</v>
      </c>
    </row>
    <row r="194" spans="1:32" s="4" customFormat="1" x14ac:dyDescent="0.25">
      <c r="A194" s="64" t="s">
        <v>925</v>
      </c>
      <c r="B194" s="69" t="s">
        <v>878</v>
      </c>
      <c r="C194" s="12" t="s">
        <v>311</v>
      </c>
      <c r="D194" s="13">
        <v>2.5299999999999998</v>
      </c>
      <c r="E194" s="18"/>
      <c r="F194" s="215">
        <v>71640</v>
      </c>
      <c r="G194" s="215">
        <f t="shared" si="92"/>
        <v>2972</v>
      </c>
      <c r="H194" s="19">
        <f t="shared" si="82"/>
        <v>74612</v>
      </c>
      <c r="I194" s="15"/>
      <c r="J194" s="22"/>
      <c r="K194" s="15"/>
      <c r="L194" s="15"/>
      <c r="M194" s="22"/>
      <c r="N194" s="22"/>
      <c r="O194" s="22">
        <f t="shared" si="93"/>
        <v>1010993</v>
      </c>
      <c r="P194" s="19">
        <f t="shared" si="94"/>
        <v>102110</v>
      </c>
      <c r="Q194" s="19">
        <f t="shared" si="95"/>
        <v>1113103</v>
      </c>
      <c r="R194" s="6">
        <f t="shared" si="96"/>
        <v>11688</v>
      </c>
      <c r="S194" s="6"/>
      <c r="T194" s="6"/>
      <c r="U194" s="122">
        <f>Q194*$U$6</f>
        <v>85561</v>
      </c>
      <c r="V194" s="122">
        <f>Q194*$V$6</f>
        <v>1311</v>
      </c>
      <c r="W194" s="122">
        <f>Q194*$W$6</f>
        <v>100476</v>
      </c>
      <c r="X194" s="6"/>
      <c r="Y194" s="168">
        <f>Q194*$Y$7</f>
        <v>20880</v>
      </c>
      <c r="Z194" s="6"/>
      <c r="AA194" s="19">
        <f t="shared" ref="AA194:AA200" si="108">SUM(Q194:Z194)</f>
        <v>1333019</v>
      </c>
      <c r="AB194" s="19">
        <f t="shared" ref="AB194:AB200" si="109">$AA194*AB$7</f>
        <v>1436488</v>
      </c>
      <c r="AC194" s="15">
        <f t="shared" ref="AC194:AC200" si="110">AB194/D194</f>
        <v>567781.81999999995</v>
      </c>
      <c r="AD194" s="15">
        <f t="shared" ref="AD194:AD200" si="111">AC194*D194</f>
        <v>1436488</v>
      </c>
      <c r="AE194" s="25"/>
      <c r="AF194" s="157">
        <f t="shared" si="99"/>
        <v>0</v>
      </c>
    </row>
    <row r="195" spans="1:32" s="4" customFormat="1" x14ac:dyDescent="0.25">
      <c r="A195" s="64" t="s">
        <v>926</v>
      </c>
      <c r="B195" s="69" t="s">
        <v>879</v>
      </c>
      <c r="C195" s="12" t="s">
        <v>67</v>
      </c>
      <c r="D195" s="89">
        <v>44</v>
      </c>
      <c r="E195" s="18"/>
      <c r="F195" s="215">
        <v>279791</v>
      </c>
      <c r="G195" s="215">
        <f t="shared" si="92"/>
        <v>11609</v>
      </c>
      <c r="H195" s="19">
        <f t="shared" si="82"/>
        <v>291400</v>
      </c>
      <c r="I195" s="15"/>
      <c r="J195" s="22"/>
      <c r="K195" s="15"/>
      <c r="L195" s="15"/>
      <c r="M195" s="22"/>
      <c r="N195" s="22"/>
      <c r="O195" s="22">
        <f t="shared" si="93"/>
        <v>3948470</v>
      </c>
      <c r="P195" s="19">
        <f t="shared" si="94"/>
        <v>398795</v>
      </c>
      <c r="Q195" s="19">
        <f t="shared" si="95"/>
        <v>4347265</v>
      </c>
      <c r="R195" s="6">
        <f t="shared" si="96"/>
        <v>45646</v>
      </c>
      <c r="S195" s="6"/>
      <c r="T195" s="6"/>
      <c r="U195" s="122">
        <f>Q195*$U$6</f>
        <v>334161</v>
      </c>
      <c r="V195" s="122">
        <f>Q195*$V$6</f>
        <v>5119</v>
      </c>
      <c r="W195" s="122">
        <f>Q195*$W$6</f>
        <v>392414</v>
      </c>
      <c r="X195" s="6"/>
      <c r="Y195" s="168">
        <f>Q195*$Y$7</f>
        <v>81549</v>
      </c>
      <c r="Z195" s="6"/>
      <c r="AA195" s="19">
        <f t="shared" si="108"/>
        <v>5206154</v>
      </c>
      <c r="AB195" s="19">
        <f t="shared" si="109"/>
        <v>5610256</v>
      </c>
      <c r="AC195" s="15">
        <f t="shared" si="110"/>
        <v>127505.82</v>
      </c>
      <c r="AD195" s="15">
        <f t="shared" si="111"/>
        <v>5610256.0800000001</v>
      </c>
      <c r="AE195" s="25"/>
      <c r="AF195" s="157">
        <f t="shared" si="99"/>
        <v>0.08</v>
      </c>
    </row>
    <row r="196" spans="1:32" s="4" customFormat="1" x14ac:dyDescent="0.25">
      <c r="A196" s="64" t="s">
        <v>927</v>
      </c>
      <c r="B196" s="69" t="s">
        <v>880</v>
      </c>
      <c r="C196" s="12" t="s">
        <v>67</v>
      </c>
      <c r="D196" s="13">
        <v>22</v>
      </c>
      <c r="E196" s="18"/>
      <c r="F196" s="215">
        <v>4214195</v>
      </c>
      <c r="G196" s="215">
        <f t="shared" si="92"/>
        <v>174852</v>
      </c>
      <c r="H196" s="19">
        <f t="shared" si="82"/>
        <v>4389047</v>
      </c>
      <c r="I196" s="15"/>
      <c r="J196" s="22"/>
      <c r="K196" s="15"/>
      <c r="L196" s="15"/>
      <c r="M196" s="22"/>
      <c r="N196" s="22"/>
      <c r="O196" s="22">
        <f t="shared" si="93"/>
        <v>59471587</v>
      </c>
      <c r="P196" s="19">
        <f t="shared" si="94"/>
        <v>6006630</v>
      </c>
      <c r="Q196" s="19">
        <f t="shared" si="95"/>
        <v>65478217</v>
      </c>
      <c r="R196" s="6">
        <f t="shared" si="96"/>
        <v>687521</v>
      </c>
      <c r="S196" s="6"/>
      <c r="T196" s="6"/>
      <c r="U196" s="122">
        <f t="shared" ref="U196:U197" si="112">Q196*$U$6</f>
        <v>5033118</v>
      </c>
      <c r="V196" s="122">
        <f t="shared" ref="V196:V197" si="113">Q196*$V$6</f>
        <v>77096</v>
      </c>
      <c r="W196" s="122">
        <f t="shared" ref="W196:W197" si="114">Q196*$W$6</f>
        <v>5910516</v>
      </c>
      <c r="X196" s="6">
        <v>8026</v>
      </c>
      <c r="Y196" s="168">
        <f>Q196*$Y$7</f>
        <v>1228287</v>
      </c>
      <c r="Z196" s="6"/>
      <c r="AA196" s="19">
        <f t="shared" si="108"/>
        <v>78422781</v>
      </c>
      <c r="AB196" s="19">
        <f t="shared" si="109"/>
        <v>84509957</v>
      </c>
      <c r="AC196" s="15">
        <f t="shared" si="110"/>
        <v>3841361.68</v>
      </c>
      <c r="AD196" s="15">
        <f t="shared" si="111"/>
        <v>84509956.959999993</v>
      </c>
      <c r="AE196" s="25"/>
      <c r="AF196" s="157">
        <f t="shared" si="99"/>
        <v>-0.04</v>
      </c>
    </row>
    <row r="197" spans="1:32" s="4" customFormat="1" x14ac:dyDescent="0.25">
      <c r="A197" s="64" t="s">
        <v>928</v>
      </c>
      <c r="B197" s="69" t="s">
        <v>881</v>
      </c>
      <c r="C197" s="12" t="s">
        <v>70</v>
      </c>
      <c r="D197" s="13">
        <v>298</v>
      </c>
      <c r="E197" s="18"/>
      <c r="F197" s="215">
        <v>1805854</v>
      </c>
      <c r="G197" s="215">
        <f t="shared" si="92"/>
        <v>74927</v>
      </c>
      <c r="H197" s="19">
        <f t="shared" si="82"/>
        <v>1880781</v>
      </c>
      <c r="I197" s="15"/>
      <c r="J197" s="22"/>
      <c r="K197" s="15"/>
      <c r="L197" s="15"/>
      <c r="M197" s="22"/>
      <c r="N197" s="22"/>
      <c r="O197" s="22">
        <f t="shared" si="93"/>
        <v>25484583</v>
      </c>
      <c r="P197" s="19">
        <f t="shared" si="94"/>
        <v>2573943</v>
      </c>
      <c r="Q197" s="19">
        <f t="shared" si="95"/>
        <v>28058526</v>
      </c>
      <c r="R197" s="6">
        <f t="shared" si="96"/>
        <v>294615</v>
      </c>
      <c r="S197" s="6"/>
      <c r="T197" s="6"/>
      <c r="U197" s="122">
        <f t="shared" si="112"/>
        <v>2156777</v>
      </c>
      <c r="V197" s="122">
        <f t="shared" si="113"/>
        <v>33037</v>
      </c>
      <c r="W197" s="122">
        <f t="shared" si="114"/>
        <v>2532756</v>
      </c>
      <c r="X197" s="6"/>
      <c r="Y197" s="168">
        <f t="shared" ref="Y197" si="115">Q197*$Y$7</f>
        <v>526342</v>
      </c>
      <c r="Z197" s="6"/>
      <c r="AA197" s="19">
        <f t="shared" si="108"/>
        <v>33602053</v>
      </c>
      <c r="AB197" s="19">
        <f t="shared" si="109"/>
        <v>36210244</v>
      </c>
      <c r="AC197" s="15">
        <f t="shared" si="110"/>
        <v>121510.89</v>
      </c>
      <c r="AD197" s="15">
        <f t="shared" si="111"/>
        <v>36210245.219999999</v>
      </c>
      <c r="AE197" s="25"/>
      <c r="AF197" s="157">
        <f t="shared" si="99"/>
        <v>1.22</v>
      </c>
    </row>
    <row r="198" spans="1:32" s="4" customFormat="1" x14ac:dyDescent="0.25">
      <c r="A198" s="64" t="s">
        <v>929</v>
      </c>
      <c r="B198" s="69" t="s">
        <v>882</v>
      </c>
      <c r="C198" s="12" t="s">
        <v>70</v>
      </c>
      <c r="D198" s="13">
        <v>4.9000000000000004</v>
      </c>
      <c r="E198" s="18"/>
      <c r="F198" s="215">
        <v>35989</v>
      </c>
      <c r="G198" s="215">
        <f t="shared" si="92"/>
        <v>1493</v>
      </c>
      <c r="H198" s="19">
        <f t="shared" si="82"/>
        <v>37482</v>
      </c>
      <c r="I198" s="15"/>
      <c r="J198" s="22"/>
      <c r="K198" s="15"/>
      <c r="L198" s="15"/>
      <c r="M198" s="22"/>
      <c r="N198" s="22"/>
      <c r="O198" s="22">
        <f t="shared" si="93"/>
        <v>507881</v>
      </c>
      <c r="P198" s="19">
        <f t="shared" si="94"/>
        <v>51296</v>
      </c>
      <c r="Q198" s="19">
        <f t="shared" si="95"/>
        <v>559177</v>
      </c>
      <c r="R198" s="6">
        <f t="shared" si="96"/>
        <v>5871</v>
      </c>
      <c r="S198" s="6"/>
      <c r="T198" s="6"/>
      <c r="U198" s="122">
        <f>Q198*$U$6</f>
        <v>42982</v>
      </c>
      <c r="V198" s="122">
        <f>Q198*$V$6</f>
        <v>658</v>
      </c>
      <c r="W198" s="122">
        <f>Q198*$W$6</f>
        <v>50475</v>
      </c>
      <c r="X198" s="6"/>
      <c r="Y198" s="168">
        <f>Q198*$Y$7</f>
        <v>10489</v>
      </c>
      <c r="Z198" s="6"/>
      <c r="AA198" s="19">
        <f t="shared" si="108"/>
        <v>669652</v>
      </c>
      <c r="AB198" s="19">
        <f t="shared" si="109"/>
        <v>721630</v>
      </c>
      <c r="AC198" s="15">
        <f t="shared" si="110"/>
        <v>147271.43</v>
      </c>
      <c r="AD198" s="15">
        <f t="shared" si="111"/>
        <v>721630.01</v>
      </c>
      <c r="AE198" s="25"/>
      <c r="AF198" s="157">
        <f t="shared" si="99"/>
        <v>0.01</v>
      </c>
    </row>
    <row r="199" spans="1:32" s="4" customFormat="1" x14ac:dyDescent="0.25">
      <c r="A199" s="64" t="s">
        <v>930</v>
      </c>
      <c r="B199" s="69" t="s">
        <v>883</v>
      </c>
      <c r="C199" s="12" t="s">
        <v>72</v>
      </c>
      <c r="D199" s="13">
        <v>86</v>
      </c>
      <c r="E199" s="18"/>
      <c r="F199" s="215">
        <v>2437</v>
      </c>
      <c r="G199" s="215">
        <f t="shared" si="92"/>
        <v>101</v>
      </c>
      <c r="H199" s="19">
        <f t="shared" si="82"/>
        <v>2538</v>
      </c>
      <c r="I199" s="15"/>
      <c r="J199" s="22"/>
      <c r="K199" s="15"/>
      <c r="L199" s="15"/>
      <c r="M199" s="22"/>
      <c r="N199" s="22"/>
      <c r="O199" s="22">
        <f t="shared" si="93"/>
        <v>34390</v>
      </c>
      <c r="P199" s="19">
        <f t="shared" si="94"/>
        <v>3473</v>
      </c>
      <c r="Q199" s="19">
        <f t="shared" si="95"/>
        <v>37863</v>
      </c>
      <c r="R199" s="6">
        <f t="shared" si="96"/>
        <v>398</v>
      </c>
      <c r="S199" s="6"/>
      <c r="T199" s="6"/>
      <c r="U199" s="122">
        <f>Q199*$U$6</f>
        <v>2910</v>
      </c>
      <c r="V199" s="122">
        <f>Q199*$V$6</f>
        <v>45</v>
      </c>
      <c r="W199" s="122">
        <f>Q199*$W$6</f>
        <v>3418</v>
      </c>
      <c r="X199" s="6"/>
      <c r="Y199" s="168">
        <f>Q199*$Y$7</f>
        <v>710</v>
      </c>
      <c r="Z199" s="6"/>
      <c r="AA199" s="19">
        <f t="shared" si="108"/>
        <v>45344</v>
      </c>
      <c r="AB199" s="19">
        <f t="shared" si="109"/>
        <v>48864</v>
      </c>
      <c r="AC199" s="15">
        <f t="shared" si="110"/>
        <v>568.19000000000005</v>
      </c>
      <c r="AD199" s="15">
        <f t="shared" si="111"/>
        <v>48864.34</v>
      </c>
      <c r="AE199" s="25"/>
      <c r="AF199" s="157">
        <f t="shared" si="99"/>
        <v>0.34</v>
      </c>
    </row>
    <row r="200" spans="1:32" s="4" customFormat="1" ht="25.5" x14ac:dyDescent="0.25">
      <c r="A200" s="64" t="s">
        <v>931</v>
      </c>
      <c r="B200" s="69" t="s">
        <v>884</v>
      </c>
      <c r="C200" s="12" t="s">
        <v>72</v>
      </c>
      <c r="D200" s="13">
        <v>3762</v>
      </c>
      <c r="E200" s="18"/>
      <c r="F200" s="215">
        <v>250410</v>
      </c>
      <c r="G200" s="215">
        <f t="shared" si="92"/>
        <v>10390</v>
      </c>
      <c r="H200" s="19">
        <f t="shared" si="82"/>
        <v>260800</v>
      </c>
      <c r="I200" s="15"/>
      <c r="J200" s="22"/>
      <c r="K200" s="15"/>
      <c r="L200" s="15"/>
      <c r="M200" s="22"/>
      <c r="N200" s="22"/>
      <c r="O200" s="22">
        <f t="shared" si="93"/>
        <v>3533840</v>
      </c>
      <c r="P200" s="19">
        <f t="shared" si="94"/>
        <v>356918</v>
      </c>
      <c r="Q200" s="19">
        <f t="shared" si="95"/>
        <v>3890758</v>
      </c>
      <c r="R200" s="6">
        <f t="shared" si="96"/>
        <v>40853</v>
      </c>
      <c r="S200" s="6"/>
      <c r="T200" s="6"/>
      <c r="U200" s="122">
        <f>Q200*$U$6</f>
        <v>299071</v>
      </c>
      <c r="V200" s="122">
        <f>Q200*$V$6</f>
        <v>4581</v>
      </c>
      <c r="W200" s="122">
        <f>Q200*$W$6</f>
        <v>351207</v>
      </c>
      <c r="X200" s="6"/>
      <c r="Y200" s="168">
        <f>Q200*$Y$7</f>
        <v>72986</v>
      </c>
      <c r="Z200" s="6"/>
      <c r="AA200" s="19">
        <f t="shared" si="108"/>
        <v>4659456</v>
      </c>
      <c r="AB200" s="19">
        <f t="shared" si="109"/>
        <v>5021123</v>
      </c>
      <c r="AC200" s="15">
        <f t="shared" si="110"/>
        <v>1334.7</v>
      </c>
      <c r="AD200" s="15">
        <f t="shared" si="111"/>
        <v>5021141.4000000004</v>
      </c>
      <c r="AE200" s="25"/>
      <c r="AF200" s="157">
        <f t="shared" si="99"/>
        <v>18.399999999999999</v>
      </c>
    </row>
    <row r="201" spans="1:32" s="4" customFormat="1" x14ac:dyDescent="0.25">
      <c r="A201" s="23" t="s">
        <v>932</v>
      </c>
      <c r="B201" s="26" t="s">
        <v>885</v>
      </c>
      <c r="C201" s="21"/>
      <c r="D201" s="212"/>
      <c r="E201" s="213"/>
      <c r="F201" s="216"/>
      <c r="G201" s="215"/>
      <c r="H201" s="19"/>
      <c r="I201" s="32"/>
      <c r="J201" s="22"/>
      <c r="K201" s="15"/>
      <c r="L201" s="15"/>
      <c r="M201" s="31"/>
      <c r="N201" s="31"/>
      <c r="O201" s="22"/>
      <c r="P201" s="19"/>
      <c r="Q201" s="19"/>
      <c r="R201" s="6"/>
      <c r="S201" s="6"/>
      <c r="T201" s="6"/>
      <c r="U201" s="122"/>
      <c r="V201" s="122"/>
      <c r="W201" s="122"/>
      <c r="X201" s="6"/>
      <c r="Y201" s="168"/>
      <c r="Z201" s="6"/>
      <c r="AA201" s="19"/>
      <c r="AB201" s="19"/>
      <c r="AC201" s="15"/>
      <c r="AD201" s="15"/>
      <c r="AE201" s="25"/>
      <c r="AF201" s="157">
        <f t="shared" si="99"/>
        <v>0</v>
      </c>
    </row>
    <row r="202" spans="1:32" s="4" customFormat="1" x14ac:dyDescent="0.25">
      <c r="A202" s="64" t="s">
        <v>933</v>
      </c>
      <c r="B202" s="69" t="s">
        <v>886</v>
      </c>
      <c r="C202" s="12" t="s">
        <v>72</v>
      </c>
      <c r="D202" s="13">
        <v>1360.9</v>
      </c>
      <c r="E202" s="18"/>
      <c r="F202" s="215">
        <v>199787</v>
      </c>
      <c r="G202" s="215">
        <f t="shared" si="92"/>
        <v>8289</v>
      </c>
      <c r="H202" s="19">
        <f t="shared" si="82"/>
        <v>208076</v>
      </c>
      <c r="I202" s="15"/>
      <c r="J202" s="22"/>
      <c r="K202" s="15"/>
      <c r="L202" s="15"/>
      <c r="M202" s="22"/>
      <c r="N202" s="22"/>
      <c r="O202" s="22">
        <f t="shared" si="93"/>
        <v>2819430</v>
      </c>
      <c r="P202" s="19">
        <f t="shared" si="94"/>
        <v>284762</v>
      </c>
      <c r="Q202" s="19">
        <f t="shared" si="95"/>
        <v>3104192</v>
      </c>
      <c r="R202" s="6">
        <f t="shared" si="96"/>
        <v>32594</v>
      </c>
      <c r="S202" s="6"/>
      <c r="T202" s="6"/>
      <c r="U202" s="122">
        <f t="shared" ref="U202:U212" si="116">Q202*$U$6</f>
        <v>238610</v>
      </c>
      <c r="V202" s="122">
        <f t="shared" ref="V202:V212" si="117">Q202*$V$6</f>
        <v>3655</v>
      </c>
      <c r="W202" s="122">
        <f t="shared" ref="W202:W212" si="118">Q202*$W$6</f>
        <v>280206</v>
      </c>
      <c r="X202" s="6"/>
      <c r="Y202" s="168">
        <f t="shared" ref="Y202:Y212" si="119">Q202*$Y$7</f>
        <v>58231</v>
      </c>
      <c r="Z202" s="6"/>
      <c r="AA202" s="19">
        <f t="shared" ref="AA202:AA212" si="120">SUM(Q202:Z202)</f>
        <v>3717488</v>
      </c>
      <c r="AB202" s="19">
        <f t="shared" ref="AB202:AB212" si="121">$AA202*AB$7</f>
        <v>4006039</v>
      </c>
      <c r="AC202" s="15">
        <f t="shared" ref="AC202:AC212" si="122">AB202/D202</f>
        <v>2943.67</v>
      </c>
      <c r="AD202" s="15">
        <f t="shared" ref="AD202:AD212" si="123">AC202*D202</f>
        <v>4006040.5</v>
      </c>
      <c r="AE202" s="25"/>
      <c r="AF202" s="157">
        <f t="shared" si="99"/>
        <v>1.5</v>
      </c>
    </row>
    <row r="203" spans="1:32" s="4" customFormat="1" x14ac:dyDescent="0.25">
      <c r="A203" s="64" t="s">
        <v>934</v>
      </c>
      <c r="B203" s="69" t="s">
        <v>887</v>
      </c>
      <c r="C203" s="12" t="s">
        <v>888</v>
      </c>
      <c r="D203" s="13">
        <f>114.4</f>
        <v>114.4</v>
      </c>
      <c r="E203" s="18"/>
      <c r="F203" s="215">
        <v>10969</v>
      </c>
      <c r="G203" s="215">
        <f t="shared" si="92"/>
        <v>455</v>
      </c>
      <c r="H203" s="19">
        <f t="shared" si="82"/>
        <v>11424</v>
      </c>
      <c r="I203" s="15"/>
      <c r="J203" s="22"/>
      <c r="K203" s="15"/>
      <c r="L203" s="15"/>
      <c r="M203" s="22"/>
      <c r="N203" s="22"/>
      <c r="O203" s="22">
        <f t="shared" si="93"/>
        <v>154795</v>
      </c>
      <c r="P203" s="19">
        <f t="shared" si="94"/>
        <v>15634</v>
      </c>
      <c r="Q203" s="19">
        <f t="shared" si="95"/>
        <v>170429</v>
      </c>
      <c r="R203" s="6">
        <f t="shared" si="96"/>
        <v>1790</v>
      </c>
      <c r="S203" s="6"/>
      <c r="T203" s="6"/>
      <c r="U203" s="122">
        <f t="shared" si="116"/>
        <v>13100</v>
      </c>
      <c r="V203" s="122">
        <f t="shared" si="117"/>
        <v>201</v>
      </c>
      <c r="W203" s="122">
        <f t="shared" si="118"/>
        <v>15384</v>
      </c>
      <c r="X203" s="6"/>
      <c r="Y203" s="168">
        <f t="shared" si="119"/>
        <v>3197</v>
      </c>
      <c r="Z203" s="6"/>
      <c r="AA203" s="19">
        <f t="shared" si="120"/>
        <v>204101</v>
      </c>
      <c r="AB203" s="19">
        <f t="shared" si="121"/>
        <v>219943</v>
      </c>
      <c r="AC203" s="15">
        <f t="shared" si="122"/>
        <v>1922.58</v>
      </c>
      <c r="AD203" s="15">
        <f t="shared" si="123"/>
        <v>219943.15</v>
      </c>
      <c r="AE203" s="25"/>
      <c r="AF203" s="157">
        <f t="shared" si="99"/>
        <v>0.15</v>
      </c>
    </row>
    <row r="204" spans="1:32" s="4" customFormat="1" x14ac:dyDescent="0.25">
      <c r="A204" s="64" t="s">
        <v>935</v>
      </c>
      <c r="B204" s="69" t="s">
        <v>889</v>
      </c>
      <c r="C204" s="12" t="s">
        <v>890</v>
      </c>
      <c r="D204" s="13">
        <f>72.21+144.42</f>
        <v>216.63</v>
      </c>
      <c r="E204" s="18"/>
      <c r="F204" s="215">
        <v>432657</v>
      </c>
      <c r="G204" s="215">
        <f t="shared" si="92"/>
        <v>17951</v>
      </c>
      <c r="H204" s="19">
        <f t="shared" si="82"/>
        <v>450608</v>
      </c>
      <c r="I204" s="15"/>
      <c r="J204" s="22"/>
      <c r="K204" s="15"/>
      <c r="L204" s="15"/>
      <c r="M204" s="22"/>
      <c r="N204" s="22"/>
      <c r="O204" s="22">
        <f t="shared" si="93"/>
        <v>6105738</v>
      </c>
      <c r="P204" s="19">
        <f t="shared" si="94"/>
        <v>616680</v>
      </c>
      <c r="Q204" s="19">
        <f t="shared" si="95"/>
        <v>6722418</v>
      </c>
      <c r="R204" s="6">
        <f t="shared" si="96"/>
        <v>70585</v>
      </c>
      <c r="S204" s="6"/>
      <c r="T204" s="6"/>
      <c r="U204" s="122">
        <f t="shared" si="116"/>
        <v>516733</v>
      </c>
      <c r="V204" s="122">
        <f t="shared" si="117"/>
        <v>7915</v>
      </c>
      <c r="W204" s="122">
        <f t="shared" si="118"/>
        <v>606812</v>
      </c>
      <c r="X204" s="6"/>
      <c r="Y204" s="168">
        <f t="shared" si="119"/>
        <v>126104</v>
      </c>
      <c r="Z204" s="6"/>
      <c r="AA204" s="19">
        <f t="shared" si="120"/>
        <v>8050567</v>
      </c>
      <c r="AB204" s="19">
        <f t="shared" si="121"/>
        <v>8675452</v>
      </c>
      <c r="AC204" s="15">
        <f t="shared" si="122"/>
        <v>40047.32</v>
      </c>
      <c r="AD204" s="15">
        <f t="shared" si="123"/>
        <v>8675450.9299999997</v>
      </c>
      <c r="AE204" s="25"/>
      <c r="AF204" s="157">
        <f t="shared" si="99"/>
        <v>-1.07</v>
      </c>
    </row>
    <row r="205" spans="1:32" s="4" customFormat="1" x14ac:dyDescent="0.25">
      <c r="A205" s="64" t="s">
        <v>936</v>
      </c>
      <c r="B205" s="69" t="s">
        <v>891</v>
      </c>
      <c r="C205" s="12" t="s">
        <v>311</v>
      </c>
      <c r="D205" s="13">
        <v>4.8600000000000003</v>
      </c>
      <c r="E205" s="18"/>
      <c r="F205" s="215">
        <v>120563</v>
      </c>
      <c r="G205" s="215">
        <f t="shared" si="92"/>
        <v>5002</v>
      </c>
      <c r="H205" s="19">
        <f t="shared" si="82"/>
        <v>125565</v>
      </c>
      <c r="I205" s="15"/>
      <c r="J205" s="22"/>
      <c r="K205" s="15"/>
      <c r="L205" s="15"/>
      <c r="M205" s="22"/>
      <c r="N205" s="22"/>
      <c r="O205" s="22">
        <f t="shared" si="93"/>
        <v>1701406</v>
      </c>
      <c r="P205" s="19">
        <f t="shared" si="94"/>
        <v>171842</v>
      </c>
      <c r="Q205" s="19">
        <f t="shared" si="95"/>
        <v>1873248</v>
      </c>
      <c r="R205" s="6">
        <f t="shared" si="96"/>
        <v>19669</v>
      </c>
      <c r="S205" s="6"/>
      <c r="T205" s="6"/>
      <c r="U205" s="122">
        <f t="shared" si="116"/>
        <v>143991</v>
      </c>
      <c r="V205" s="122">
        <f t="shared" si="117"/>
        <v>2206</v>
      </c>
      <c r="W205" s="122">
        <f t="shared" si="118"/>
        <v>169092</v>
      </c>
      <c r="X205" s="6"/>
      <c r="Y205" s="168">
        <f t="shared" si="119"/>
        <v>35140</v>
      </c>
      <c r="Z205" s="6"/>
      <c r="AA205" s="19">
        <f t="shared" si="120"/>
        <v>2243346</v>
      </c>
      <c r="AB205" s="19">
        <f t="shared" si="121"/>
        <v>2417475</v>
      </c>
      <c r="AC205" s="15">
        <f t="shared" si="122"/>
        <v>497422.84</v>
      </c>
      <c r="AD205" s="15">
        <f t="shared" si="123"/>
        <v>2417475</v>
      </c>
      <c r="AE205" s="25"/>
      <c r="AF205" s="157">
        <f t="shared" si="99"/>
        <v>0</v>
      </c>
    </row>
    <row r="206" spans="1:32" s="4" customFormat="1" x14ac:dyDescent="0.25">
      <c r="A206" s="64" t="s">
        <v>937</v>
      </c>
      <c r="B206" s="69" t="s">
        <v>892</v>
      </c>
      <c r="C206" s="12" t="s">
        <v>890</v>
      </c>
      <c r="D206" s="13">
        <v>51.35</v>
      </c>
      <c r="E206" s="18"/>
      <c r="F206" s="215">
        <v>274480</v>
      </c>
      <c r="G206" s="215">
        <f t="shared" si="92"/>
        <v>11388</v>
      </c>
      <c r="H206" s="19">
        <f t="shared" si="82"/>
        <v>285868</v>
      </c>
      <c r="I206" s="15"/>
      <c r="J206" s="22"/>
      <c r="K206" s="15"/>
      <c r="L206" s="15"/>
      <c r="M206" s="22"/>
      <c r="N206" s="22"/>
      <c r="O206" s="22">
        <f t="shared" si="93"/>
        <v>3873511</v>
      </c>
      <c r="P206" s="19">
        <f t="shared" si="94"/>
        <v>391225</v>
      </c>
      <c r="Q206" s="19">
        <f t="shared" si="95"/>
        <v>4264736</v>
      </c>
      <c r="R206" s="6">
        <f t="shared" si="96"/>
        <v>44780</v>
      </c>
      <c r="S206" s="6"/>
      <c r="T206" s="6"/>
      <c r="U206" s="122">
        <f t="shared" si="116"/>
        <v>327818</v>
      </c>
      <c r="V206" s="122">
        <f t="shared" si="117"/>
        <v>5021</v>
      </c>
      <c r="W206" s="122">
        <f t="shared" si="118"/>
        <v>384965</v>
      </c>
      <c r="X206" s="6"/>
      <c r="Y206" s="168">
        <f t="shared" si="119"/>
        <v>80001</v>
      </c>
      <c r="Z206" s="6"/>
      <c r="AA206" s="19">
        <f t="shared" si="120"/>
        <v>5107321</v>
      </c>
      <c r="AB206" s="19">
        <f t="shared" si="121"/>
        <v>5503751</v>
      </c>
      <c r="AC206" s="15">
        <f t="shared" si="122"/>
        <v>107181.13</v>
      </c>
      <c r="AD206" s="15">
        <f t="shared" si="123"/>
        <v>5503751.0300000003</v>
      </c>
      <c r="AE206" s="25"/>
      <c r="AF206" s="157">
        <f t="shared" si="99"/>
        <v>0.03</v>
      </c>
    </row>
    <row r="207" spans="1:32" s="4" customFormat="1" x14ac:dyDescent="0.25">
      <c r="A207" s="64" t="s">
        <v>938</v>
      </c>
      <c r="B207" s="69" t="s">
        <v>893</v>
      </c>
      <c r="C207" s="12" t="s">
        <v>72</v>
      </c>
      <c r="D207" s="13">
        <v>1177.9000000000001</v>
      </c>
      <c r="E207" s="18"/>
      <c r="F207" s="215">
        <v>149766</v>
      </c>
      <c r="G207" s="215">
        <f t="shared" si="92"/>
        <v>6214</v>
      </c>
      <c r="H207" s="19">
        <f t="shared" si="82"/>
        <v>155980</v>
      </c>
      <c r="I207" s="15"/>
      <c r="J207" s="22"/>
      <c r="K207" s="15"/>
      <c r="L207" s="15"/>
      <c r="M207" s="22"/>
      <c r="N207" s="22"/>
      <c r="O207" s="22">
        <f t="shared" si="93"/>
        <v>2113529</v>
      </c>
      <c r="P207" s="19">
        <f t="shared" si="94"/>
        <v>213466</v>
      </c>
      <c r="Q207" s="19">
        <f t="shared" si="95"/>
        <v>2326995</v>
      </c>
      <c r="R207" s="6">
        <f t="shared" si="96"/>
        <v>24433</v>
      </c>
      <c r="S207" s="6"/>
      <c r="T207" s="6"/>
      <c r="U207" s="122">
        <f t="shared" si="116"/>
        <v>178869</v>
      </c>
      <c r="V207" s="122">
        <f t="shared" si="117"/>
        <v>2740</v>
      </c>
      <c r="W207" s="122">
        <f t="shared" si="118"/>
        <v>210051</v>
      </c>
      <c r="X207" s="6"/>
      <c r="Y207" s="168">
        <f t="shared" si="119"/>
        <v>43651</v>
      </c>
      <c r="Z207" s="6"/>
      <c r="AA207" s="19">
        <f t="shared" si="120"/>
        <v>2786739</v>
      </c>
      <c r="AB207" s="19">
        <f t="shared" si="121"/>
        <v>3003046</v>
      </c>
      <c r="AC207" s="15">
        <f t="shared" si="122"/>
        <v>2549.4899999999998</v>
      </c>
      <c r="AD207" s="15">
        <f t="shared" si="123"/>
        <v>3003044.27</v>
      </c>
      <c r="AE207" s="25"/>
      <c r="AF207" s="157">
        <f t="shared" ref="AF207:AF209" si="124">AD207-AB207</f>
        <v>-1.73</v>
      </c>
    </row>
    <row r="208" spans="1:32" s="4" customFormat="1" x14ac:dyDescent="0.25">
      <c r="A208" s="64" t="s">
        <v>939</v>
      </c>
      <c r="B208" s="69" t="s">
        <v>894</v>
      </c>
      <c r="C208" s="12" t="s">
        <v>72</v>
      </c>
      <c r="D208" s="13">
        <v>1200.5</v>
      </c>
      <c r="E208" s="18"/>
      <c r="F208" s="215">
        <v>233302</v>
      </c>
      <c r="G208" s="215">
        <f t="shared" si="92"/>
        <v>9680</v>
      </c>
      <c r="H208" s="19">
        <f t="shared" si="82"/>
        <v>242982</v>
      </c>
      <c r="I208" s="15"/>
      <c r="J208" s="22"/>
      <c r="K208" s="15"/>
      <c r="L208" s="15"/>
      <c r="M208" s="22"/>
      <c r="N208" s="22"/>
      <c r="O208" s="22">
        <f t="shared" si="93"/>
        <v>3292406</v>
      </c>
      <c r="P208" s="19">
        <f t="shared" si="94"/>
        <v>332533</v>
      </c>
      <c r="Q208" s="19">
        <f t="shared" si="95"/>
        <v>3624939</v>
      </c>
      <c r="R208" s="6">
        <f t="shared" si="96"/>
        <v>38062</v>
      </c>
      <c r="S208" s="6"/>
      <c r="T208" s="6"/>
      <c r="U208" s="122">
        <f t="shared" si="116"/>
        <v>278638</v>
      </c>
      <c r="V208" s="122">
        <f t="shared" si="117"/>
        <v>4268</v>
      </c>
      <c r="W208" s="122">
        <f t="shared" si="118"/>
        <v>327212</v>
      </c>
      <c r="X208" s="6"/>
      <c r="Y208" s="168">
        <f t="shared" si="119"/>
        <v>67999</v>
      </c>
      <c r="Z208" s="6"/>
      <c r="AA208" s="19">
        <f t="shared" si="120"/>
        <v>4341118</v>
      </c>
      <c r="AB208" s="19">
        <f t="shared" si="121"/>
        <v>4678076</v>
      </c>
      <c r="AC208" s="15">
        <f t="shared" si="122"/>
        <v>3896.77</v>
      </c>
      <c r="AD208" s="15">
        <f t="shared" si="123"/>
        <v>4678072.3899999997</v>
      </c>
      <c r="AE208" s="25"/>
      <c r="AF208" s="157">
        <f t="shared" si="124"/>
        <v>-3.61</v>
      </c>
    </row>
    <row r="209" spans="1:32" s="4" customFormat="1" ht="25.5" x14ac:dyDescent="0.25">
      <c r="A209" s="64" t="s">
        <v>940</v>
      </c>
      <c r="B209" s="69" t="s">
        <v>895</v>
      </c>
      <c r="C209" s="12" t="s">
        <v>72</v>
      </c>
      <c r="D209" s="13">
        <v>133.4</v>
      </c>
      <c r="E209" s="18"/>
      <c r="F209" s="215">
        <v>24636</v>
      </c>
      <c r="G209" s="215">
        <f t="shared" si="92"/>
        <v>1022</v>
      </c>
      <c r="H209" s="19">
        <f t="shared" si="82"/>
        <v>25658</v>
      </c>
      <c r="I209" s="15"/>
      <c r="J209" s="22"/>
      <c r="K209" s="15"/>
      <c r="L209" s="15"/>
      <c r="M209" s="22"/>
      <c r="N209" s="22"/>
      <c r="O209" s="22">
        <f t="shared" si="93"/>
        <v>347666</v>
      </c>
      <c r="P209" s="19">
        <f t="shared" si="94"/>
        <v>35114</v>
      </c>
      <c r="Q209" s="19">
        <f t="shared" si="95"/>
        <v>382780</v>
      </c>
      <c r="R209" s="6">
        <f t="shared" si="96"/>
        <v>4019</v>
      </c>
      <c r="S209" s="6"/>
      <c r="T209" s="6"/>
      <c r="U209" s="122">
        <f t="shared" si="116"/>
        <v>29423</v>
      </c>
      <c r="V209" s="122">
        <f t="shared" si="117"/>
        <v>451</v>
      </c>
      <c r="W209" s="122">
        <f t="shared" si="118"/>
        <v>34552</v>
      </c>
      <c r="X209" s="6"/>
      <c r="Y209" s="168">
        <f t="shared" si="119"/>
        <v>7180</v>
      </c>
      <c r="Z209" s="6"/>
      <c r="AA209" s="19">
        <f t="shared" si="120"/>
        <v>458405</v>
      </c>
      <c r="AB209" s="19">
        <f t="shared" si="121"/>
        <v>493986</v>
      </c>
      <c r="AC209" s="15">
        <f t="shared" si="122"/>
        <v>3703.04</v>
      </c>
      <c r="AD209" s="15">
        <f t="shared" si="123"/>
        <v>493985.54</v>
      </c>
      <c r="AE209" s="25"/>
      <c r="AF209" s="157">
        <f t="shared" si="124"/>
        <v>-0.46</v>
      </c>
    </row>
    <row r="210" spans="1:32" s="4" customFormat="1" x14ac:dyDescent="0.25">
      <c r="A210" s="64" t="s">
        <v>941</v>
      </c>
      <c r="B210" s="69" t="s">
        <v>896</v>
      </c>
      <c r="C210" s="12" t="s">
        <v>72</v>
      </c>
      <c r="D210" s="13">
        <v>133.4</v>
      </c>
      <c r="E210" s="18"/>
      <c r="F210" s="215">
        <v>3780</v>
      </c>
      <c r="G210" s="215">
        <f t="shared" si="92"/>
        <v>157</v>
      </c>
      <c r="H210" s="19">
        <f t="shared" si="82"/>
        <v>3937</v>
      </c>
      <c r="I210" s="15"/>
      <c r="J210" s="22"/>
      <c r="K210" s="15"/>
      <c r="L210" s="15"/>
      <c r="M210" s="22"/>
      <c r="N210" s="22"/>
      <c r="O210" s="22">
        <f t="shared" si="93"/>
        <v>53346</v>
      </c>
      <c r="P210" s="19">
        <f t="shared" si="94"/>
        <v>5388</v>
      </c>
      <c r="Q210" s="19">
        <f t="shared" si="95"/>
        <v>58734</v>
      </c>
      <c r="R210" s="6">
        <f t="shared" si="96"/>
        <v>617</v>
      </c>
      <c r="S210" s="6"/>
      <c r="T210" s="6"/>
      <c r="U210" s="122">
        <f t="shared" si="116"/>
        <v>4515</v>
      </c>
      <c r="V210" s="122">
        <f t="shared" si="117"/>
        <v>69</v>
      </c>
      <c r="W210" s="122">
        <f t="shared" si="118"/>
        <v>5302</v>
      </c>
      <c r="X210" s="6"/>
      <c r="Y210" s="168">
        <f t="shared" si="119"/>
        <v>1102</v>
      </c>
      <c r="Z210" s="6"/>
      <c r="AA210" s="19">
        <f t="shared" si="120"/>
        <v>70339</v>
      </c>
      <c r="AB210" s="19">
        <f t="shared" si="121"/>
        <v>75799</v>
      </c>
      <c r="AC210" s="15">
        <f t="shared" si="122"/>
        <v>568.21</v>
      </c>
      <c r="AD210" s="15">
        <f t="shared" si="123"/>
        <v>75799.210000000006</v>
      </c>
      <c r="AE210" s="25"/>
      <c r="AF210" s="157">
        <f t="shared" si="99"/>
        <v>0.21</v>
      </c>
    </row>
    <row r="211" spans="1:32" s="4" customFormat="1" x14ac:dyDescent="0.25">
      <c r="A211" s="64" t="s">
        <v>942</v>
      </c>
      <c r="B211" s="69" t="s">
        <v>897</v>
      </c>
      <c r="C211" s="12" t="s">
        <v>890</v>
      </c>
      <c r="D211" s="13">
        <v>88.32</v>
      </c>
      <c r="E211" s="18"/>
      <c r="F211" s="215">
        <v>355336</v>
      </c>
      <c r="G211" s="215">
        <f t="shared" si="92"/>
        <v>14743</v>
      </c>
      <c r="H211" s="19">
        <f t="shared" si="82"/>
        <v>370079</v>
      </c>
      <c r="I211" s="15"/>
      <c r="J211" s="22"/>
      <c r="K211" s="15"/>
      <c r="L211" s="15"/>
      <c r="M211" s="22"/>
      <c r="N211" s="22"/>
      <c r="O211" s="22">
        <f t="shared" si="93"/>
        <v>5014570</v>
      </c>
      <c r="P211" s="19">
        <f t="shared" si="94"/>
        <v>506472</v>
      </c>
      <c r="Q211" s="19">
        <f t="shared" si="95"/>
        <v>5521042</v>
      </c>
      <c r="R211" s="6">
        <f t="shared" si="96"/>
        <v>57971</v>
      </c>
      <c r="S211" s="6"/>
      <c r="T211" s="6"/>
      <c r="U211" s="122">
        <f t="shared" si="116"/>
        <v>424386</v>
      </c>
      <c r="V211" s="122">
        <f t="shared" si="117"/>
        <v>6501</v>
      </c>
      <c r="W211" s="122">
        <f t="shared" si="118"/>
        <v>498367</v>
      </c>
      <c r="X211" s="6"/>
      <c r="Y211" s="168">
        <f t="shared" si="119"/>
        <v>103568</v>
      </c>
      <c r="Z211" s="6"/>
      <c r="AA211" s="19">
        <f t="shared" si="120"/>
        <v>6611835</v>
      </c>
      <c r="AB211" s="19">
        <f t="shared" si="121"/>
        <v>7125046</v>
      </c>
      <c r="AC211" s="15">
        <f t="shared" si="122"/>
        <v>80673.08</v>
      </c>
      <c r="AD211" s="15">
        <f t="shared" si="123"/>
        <v>7125046.4299999997</v>
      </c>
      <c r="AE211" s="25"/>
      <c r="AF211" s="157">
        <f t="shared" si="99"/>
        <v>0.43</v>
      </c>
    </row>
    <row r="212" spans="1:32" s="4" customFormat="1" ht="25.5" x14ac:dyDescent="0.25">
      <c r="A212" s="64" t="s">
        <v>943</v>
      </c>
      <c r="B212" s="69" t="s">
        <v>898</v>
      </c>
      <c r="C212" s="12" t="s">
        <v>890</v>
      </c>
      <c r="D212" s="13">
        <v>112.56</v>
      </c>
      <c r="E212" s="18"/>
      <c r="F212" s="215">
        <v>161517</v>
      </c>
      <c r="G212" s="215">
        <f t="shared" si="92"/>
        <v>6702</v>
      </c>
      <c r="H212" s="19">
        <f t="shared" si="82"/>
        <v>168219</v>
      </c>
      <c r="I212" s="15"/>
      <c r="J212" s="22"/>
      <c r="K212" s="15"/>
      <c r="L212" s="15"/>
      <c r="M212" s="22"/>
      <c r="N212" s="22"/>
      <c r="O212" s="22">
        <f t="shared" si="93"/>
        <v>2279367</v>
      </c>
      <c r="P212" s="19">
        <f t="shared" si="94"/>
        <v>230216</v>
      </c>
      <c r="Q212" s="19">
        <f t="shared" si="95"/>
        <v>2509583</v>
      </c>
      <c r="R212" s="6">
        <f t="shared" si="96"/>
        <v>26351</v>
      </c>
      <c r="S212" s="6"/>
      <c r="T212" s="6"/>
      <c r="U212" s="122">
        <f t="shared" si="116"/>
        <v>192904</v>
      </c>
      <c r="V212" s="122">
        <f t="shared" si="117"/>
        <v>2955</v>
      </c>
      <c r="W212" s="122">
        <f t="shared" si="118"/>
        <v>226532</v>
      </c>
      <c r="X212" s="6"/>
      <c r="Y212" s="168">
        <f t="shared" si="119"/>
        <v>47077</v>
      </c>
      <c r="Z212" s="6"/>
      <c r="AA212" s="19">
        <f t="shared" si="120"/>
        <v>3005402</v>
      </c>
      <c r="AB212" s="19">
        <f t="shared" si="121"/>
        <v>3238681</v>
      </c>
      <c r="AC212" s="15">
        <f t="shared" si="122"/>
        <v>28772.93</v>
      </c>
      <c r="AD212" s="15">
        <f t="shared" si="123"/>
        <v>3238681</v>
      </c>
      <c r="AE212" s="25"/>
      <c r="AF212" s="157">
        <f t="shared" si="99"/>
        <v>0</v>
      </c>
    </row>
    <row r="213" spans="1:32" s="4" customFormat="1" x14ac:dyDescent="0.25">
      <c r="A213" s="23" t="s">
        <v>944</v>
      </c>
      <c r="B213" s="26" t="s">
        <v>899</v>
      </c>
      <c r="C213" s="21"/>
      <c r="D213" s="212"/>
      <c r="E213" s="213"/>
      <c r="F213" s="216"/>
      <c r="G213" s="215"/>
      <c r="H213" s="19"/>
      <c r="I213" s="32"/>
      <c r="J213" s="22"/>
      <c r="K213" s="15"/>
      <c r="L213" s="15"/>
      <c r="M213" s="31"/>
      <c r="N213" s="31"/>
      <c r="O213" s="22"/>
      <c r="P213" s="19"/>
      <c r="Q213" s="19"/>
      <c r="R213" s="6"/>
      <c r="S213" s="6"/>
      <c r="T213" s="6"/>
      <c r="U213" s="122"/>
      <c r="V213" s="122"/>
      <c r="W213" s="122"/>
      <c r="X213" s="6"/>
      <c r="Y213" s="168"/>
      <c r="Z213" s="6"/>
      <c r="AA213" s="19"/>
      <c r="AB213" s="19"/>
      <c r="AC213" s="15"/>
      <c r="AD213" s="15"/>
      <c r="AE213" s="25"/>
      <c r="AF213" s="157">
        <f t="shared" ref="AF213:AF225" si="125">AD213-AB213</f>
        <v>0</v>
      </c>
    </row>
    <row r="214" spans="1:32" s="4" customFormat="1" x14ac:dyDescent="0.25">
      <c r="A214" s="64" t="s">
        <v>945</v>
      </c>
      <c r="B214" s="69" t="s">
        <v>900</v>
      </c>
      <c r="C214" s="12" t="s">
        <v>70</v>
      </c>
      <c r="D214" s="13">
        <v>32.200000000000003</v>
      </c>
      <c r="E214" s="18"/>
      <c r="F214" s="19">
        <v>12234</v>
      </c>
      <c r="G214" s="215">
        <f t="shared" si="92"/>
        <v>508</v>
      </c>
      <c r="H214" s="19">
        <f>F214+G214</f>
        <v>12742</v>
      </c>
      <c r="I214" s="15"/>
      <c r="J214" s="22"/>
      <c r="K214" s="15"/>
      <c r="L214" s="15"/>
      <c r="M214" s="22"/>
      <c r="N214" s="22"/>
      <c r="O214" s="22">
        <f t="shared" si="93"/>
        <v>172654</v>
      </c>
      <c r="P214" s="19">
        <f t="shared" si="94"/>
        <v>17438</v>
      </c>
      <c r="Q214" s="19">
        <f t="shared" si="95"/>
        <v>190092</v>
      </c>
      <c r="R214" s="6">
        <f t="shared" si="96"/>
        <v>1996</v>
      </c>
      <c r="S214" s="6"/>
      <c r="T214" s="6"/>
      <c r="U214" s="122">
        <f t="shared" ref="U214:U225" si="126">Q214*$U$6</f>
        <v>14612</v>
      </c>
      <c r="V214" s="122">
        <f t="shared" ref="V214:V225" si="127">Q214*$V$6</f>
        <v>224</v>
      </c>
      <c r="W214" s="122">
        <f t="shared" ref="W214:W225" si="128">Q214*$W$6</f>
        <v>17159</v>
      </c>
      <c r="X214" s="6"/>
      <c r="Y214" s="168">
        <f t="shared" ref="Y214:Y225" si="129">Q214*$Y$7</f>
        <v>3566</v>
      </c>
      <c r="Z214" s="6"/>
      <c r="AA214" s="19">
        <f t="shared" ref="AA214:AA225" si="130">SUM(Q214:Z214)</f>
        <v>227649</v>
      </c>
      <c r="AB214" s="19">
        <f t="shared" ref="AB214:AB225" si="131">$AA214*AB$7</f>
        <v>245319</v>
      </c>
      <c r="AC214" s="15">
        <f t="shared" ref="AC214:AC225" si="132">AB214/D214</f>
        <v>7618.6</v>
      </c>
      <c r="AD214" s="15">
        <f t="shared" ref="AD214:AD225" si="133">AC214*D214</f>
        <v>245318.92</v>
      </c>
      <c r="AE214" s="25"/>
      <c r="AF214" s="157">
        <f t="shared" ref="AF214" si="134">AD214-AB214</f>
        <v>-0.08</v>
      </c>
    </row>
    <row r="215" spans="1:32" s="4" customFormat="1" x14ac:dyDescent="0.25">
      <c r="A215" s="64" t="s">
        <v>946</v>
      </c>
      <c r="B215" s="69" t="s">
        <v>901</v>
      </c>
      <c r="C215" s="12" t="s">
        <v>70</v>
      </c>
      <c r="D215" s="13">
        <v>35.5</v>
      </c>
      <c r="E215" s="18"/>
      <c r="F215" s="19">
        <v>10871</v>
      </c>
      <c r="G215" s="215">
        <f t="shared" si="92"/>
        <v>451</v>
      </c>
      <c r="H215" s="19">
        <f t="shared" ref="H215:H234" si="135">F215+G215</f>
        <v>11322</v>
      </c>
      <c r="I215" s="15"/>
      <c r="J215" s="22"/>
      <c r="K215" s="15"/>
      <c r="L215" s="15"/>
      <c r="M215" s="22"/>
      <c r="N215" s="22"/>
      <c r="O215" s="22">
        <f t="shared" si="93"/>
        <v>153413</v>
      </c>
      <c r="P215" s="19">
        <f t="shared" si="94"/>
        <v>15495</v>
      </c>
      <c r="Q215" s="19">
        <f t="shared" si="95"/>
        <v>168908</v>
      </c>
      <c r="R215" s="6">
        <f t="shared" si="96"/>
        <v>1774</v>
      </c>
      <c r="S215" s="6"/>
      <c r="T215" s="6"/>
      <c r="U215" s="122">
        <f t="shared" si="126"/>
        <v>12983</v>
      </c>
      <c r="V215" s="122">
        <f t="shared" si="127"/>
        <v>199</v>
      </c>
      <c r="W215" s="122">
        <f t="shared" si="128"/>
        <v>15247</v>
      </c>
      <c r="X215" s="6"/>
      <c r="Y215" s="168">
        <f t="shared" si="129"/>
        <v>3168</v>
      </c>
      <c r="Z215" s="6"/>
      <c r="AA215" s="19">
        <f t="shared" si="130"/>
        <v>202279</v>
      </c>
      <c r="AB215" s="19">
        <f t="shared" si="131"/>
        <v>217980</v>
      </c>
      <c r="AC215" s="15">
        <f t="shared" si="132"/>
        <v>6140.28</v>
      </c>
      <c r="AD215" s="15">
        <f t="shared" si="133"/>
        <v>217979.94</v>
      </c>
      <c r="AE215" s="25"/>
      <c r="AF215" s="157">
        <f t="shared" si="125"/>
        <v>-0.06</v>
      </c>
    </row>
    <row r="216" spans="1:32" s="4" customFormat="1" x14ac:dyDescent="0.25">
      <c r="A216" s="64" t="s">
        <v>947</v>
      </c>
      <c r="B216" s="69" t="s">
        <v>902</v>
      </c>
      <c r="C216" s="12" t="s">
        <v>70</v>
      </c>
      <c r="D216" s="13">
        <v>15.8</v>
      </c>
      <c r="E216" s="18"/>
      <c r="F216" s="19">
        <v>30998</v>
      </c>
      <c r="G216" s="215">
        <f t="shared" si="92"/>
        <v>1286</v>
      </c>
      <c r="H216" s="19">
        <f t="shared" si="135"/>
        <v>32284</v>
      </c>
      <c r="I216" s="15"/>
      <c r="J216" s="22"/>
      <c r="K216" s="15"/>
      <c r="L216" s="15"/>
      <c r="M216" s="22"/>
      <c r="N216" s="22"/>
      <c r="O216" s="22">
        <f t="shared" si="93"/>
        <v>437448</v>
      </c>
      <c r="P216" s="19">
        <f t="shared" si="94"/>
        <v>44182</v>
      </c>
      <c r="Q216" s="19">
        <f t="shared" si="95"/>
        <v>481630</v>
      </c>
      <c r="R216" s="6">
        <f t="shared" si="96"/>
        <v>5057</v>
      </c>
      <c r="S216" s="6"/>
      <c r="T216" s="6"/>
      <c r="U216" s="122">
        <f t="shared" si="126"/>
        <v>37021</v>
      </c>
      <c r="V216" s="122">
        <f t="shared" si="127"/>
        <v>567</v>
      </c>
      <c r="W216" s="122">
        <f t="shared" si="128"/>
        <v>43475</v>
      </c>
      <c r="X216" s="6"/>
      <c r="Y216" s="168">
        <f t="shared" si="129"/>
        <v>9035</v>
      </c>
      <c r="Z216" s="6"/>
      <c r="AA216" s="19">
        <f t="shared" si="130"/>
        <v>576785</v>
      </c>
      <c r="AB216" s="19">
        <f t="shared" si="131"/>
        <v>621555</v>
      </c>
      <c r="AC216" s="15">
        <f t="shared" si="132"/>
        <v>39338.92</v>
      </c>
      <c r="AD216" s="15">
        <f t="shared" si="133"/>
        <v>621554.93999999994</v>
      </c>
      <c r="AE216" s="25"/>
      <c r="AF216" s="157">
        <f t="shared" si="125"/>
        <v>-0.06</v>
      </c>
    </row>
    <row r="217" spans="1:32" s="4" customFormat="1" x14ac:dyDescent="0.25">
      <c r="A217" s="64" t="s">
        <v>948</v>
      </c>
      <c r="B217" s="69" t="s">
        <v>903</v>
      </c>
      <c r="C217" s="12" t="s">
        <v>70</v>
      </c>
      <c r="D217" s="13">
        <v>169</v>
      </c>
      <c r="E217" s="18"/>
      <c r="F217" s="19">
        <v>468977</v>
      </c>
      <c r="G217" s="215">
        <f t="shared" si="92"/>
        <v>19458</v>
      </c>
      <c r="H217" s="19">
        <f t="shared" si="135"/>
        <v>488435</v>
      </c>
      <c r="I217" s="15"/>
      <c r="J217" s="22"/>
      <c r="K217" s="15"/>
      <c r="L217" s="15"/>
      <c r="M217" s="22"/>
      <c r="N217" s="22"/>
      <c r="O217" s="22">
        <f t="shared" si="93"/>
        <v>6618294</v>
      </c>
      <c r="P217" s="19">
        <f t="shared" si="94"/>
        <v>668448</v>
      </c>
      <c r="Q217" s="19">
        <f t="shared" si="95"/>
        <v>7286742</v>
      </c>
      <c r="R217" s="6">
        <f t="shared" si="96"/>
        <v>76511</v>
      </c>
      <c r="S217" s="6"/>
      <c r="T217" s="6"/>
      <c r="U217" s="122">
        <f t="shared" si="126"/>
        <v>560110</v>
      </c>
      <c r="V217" s="122">
        <f t="shared" si="127"/>
        <v>8580</v>
      </c>
      <c r="W217" s="122">
        <f t="shared" si="128"/>
        <v>657752</v>
      </c>
      <c r="X217" s="6"/>
      <c r="Y217" s="168">
        <f t="shared" si="129"/>
        <v>136690</v>
      </c>
      <c r="Z217" s="6"/>
      <c r="AA217" s="19">
        <f t="shared" si="130"/>
        <v>8726385</v>
      </c>
      <c r="AB217" s="19">
        <f t="shared" si="131"/>
        <v>9403727</v>
      </c>
      <c r="AC217" s="15">
        <f t="shared" si="132"/>
        <v>55643.360000000001</v>
      </c>
      <c r="AD217" s="15">
        <f t="shared" si="133"/>
        <v>9403727.8399999999</v>
      </c>
      <c r="AE217" s="25"/>
      <c r="AF217" s="157">
        <f t="shared" si="125"/>
        <v>0.84</v>
      </c>
    </row>
    <row r="218" spans="1:32" s="4" customFormat="1" x14ac:dyDescent="0.25">
      <c r="A218" s="64" t="s">
        <v>949</v>
      </c>
      <c r="B218" s="69" t="s">
        <v>872</v>
      </c>
      <c r="C218" s="12" t="s">
        <v>72</v>
      </c>
      <c r="D218" s="13">
        <v>85</v>
      </c>
      <c r="E218" s="18"/>
      <c r="F218" s="19">
        <v>7366</v>
      </c>
      <c r="G218" s="215">
        <f t="shared" si="92"/>
        <v>306</v>
      </c>
      <c r="H218" s="19">
        <f t="shared" si="135"/>
        <v>7672</v>
      </c>
      <c r="I218" s="15"/>
      <c r="J218" s="22"/>
      <c r="K218" s="15"/>
      <c r="L218" s="15"/>
      <c r="M218" s="22"/>
      <c r="N218" s="22"/>
      <c r="O218" s="22">
        <f t="shared" si="93"/>
        <v>103956</v>
      </c>
      <c r="P218" s="19">
        <f t="shared" si="94"/>
        <v>10500</v>
      </c>
      <c r="Q218" s="19">
        <f t="shared" si="95"/>
        <v>114456</v>
      </c>
      <c r="R218" s="6">
        <f t="shared" si="96"/>
        <v>1202</v>
      </c>
      <c r="S218" s="6"/>
      <c r="T218" s="6"/>
      <c r="U218" s="122">
        <f t="shared" si="126"/>
        <v>8798</v>
      </c>
      <c r="V218" s="122">
        <f t="shared" si="127"/>
        <v>135</v>
      </c>
      <c r="W218" s="122">
        <f t="shared" si="128"/>
        <v>10332</v>
      </c>
      <c r="X218" s="6"/>
      <c r="Y218" s="168">
        <f t="shared" si="129"/>
        <v>2147</v>
      </c>
      <c r="Z218" s="6"/>
      <c r="AA218" s="19">
        <f t="shared" si="130"/>
        <v>137070</v>
      </c>
      <c r="AB218" s="19">
        <f t="shared" si="131"/>
        <v>147709</v>
      </c>
      <c r="AC218" s="15">
        <f t="shared" si="132"/>
        <v>1737.75</v>
      </c>
      <c r="AD218" s="15">
        <f t="shared" si="133"/>
        <v>147708.75</v>
      </c>
      <c r="AE218" s="25"/>
      <c r="AF218" s="157">
        <f t="shared" si="125"/>
        <v>-0.25</v>
      </c>
    </row>
    <row r="219" spans="1:32" s="4" customFormat="1" x14ac:dyDescent="0.25">
      <c r="A219" s="64" t="s">
        <v>950</v>
      </c>
      <c r="B219" s="69" t="s">
        <v>904</v>
      </c>
      <c r="C219" s="12" t="s">
        <v>72</v>
      </c>
      <c r="D219" s="13">
        <v>428.8</v>
      </c>
      <c r="E219" s="18"/>
      <c r="F219" s="19">
        <v>54844</v>
      </c>
      <c r="G219" s="215">
        <f t="shared" si="92"/>
        <v>2276</v>
      </c>
      <c r="H219" s="19">
        <f t="shared" si="135"/>
        <v>57120</v>
      </c>
      <c r="I219" s="15"/>
      <c r="J219" s="22"/>
      <c r="K219" s="15"/>
      <c r="L219" s="15"/>
      <c r="M219" s="22"/>
      <c r="N219" s="22"/>
      <c r="O219" s="22">
        <f t="shared" si="93"/>
        <v>773976</v>
      </c>
      <c r="P219" s="19">
        <f t="shared" si="94"/>
        <v>78172</v>
      </c>
      <c r="Q219" s="19">
        <f t="shared" si="95"/>
        <v>852148</v>
      </c>
      <c r="R219" s="6">
        <f t="shared" si="96"/>
        <v>8948</v>
      </c>
      <c r="S219" s="6"/>
      <c r="T219" s="6"/>
      <c r="U219" s="122">
        <f t="shared" si="126"/>
        <v>65502</v>
      </c>
      <c r="V219" s="122">
        <f t="shared" si="127"/>
        <v>1003</v>
      </c>
      <c r="W219" s="122">
        <f t="shared" si="128"/>
        <v>76921</v>
      </c>
      <c r="X219" s="6"/>
      <c r="Y219" s="168">
        <f t="shared" si="129"/>
        <v>15985</v>
      </c>
      <c r="Z219" s="6"/>
      <c r="AA219" s="19">
        <f t="shared" si="130"/>
        <v>1020507</v>
      </c>
      <c r="AB219" s="19">
        <f t="shared" si="131"/>
        <v>1099719</v>
      </c>
      <c r="AC219" s="15">
        <f t="shared" si="132"/>
        <v>2564.64</v>
      </c>
      <c r="AD219" s="15">
        <f t="shared" si="133"/>
        <v>1099717.6299999999</v>
      </c>
      <c r="AE219" s="25"/>
      <c r="AF219" s="157">
        <f t="shared" si="125"/>
        <v>-1.37</v>
      </c>
    </row>
    <row r="220" spans="1:32" s="4" customFormat="1" ht="25.5" x14ac:dyDescent="0.25">
      <c r="A220" s="64" t="s">
        <v>951</v>
      </c>
      <c r="B220" s="69" t="s">
        <v>905</v>
      </c>
      <c r="C220" s="12" t="s">
        <v>72</v>
      </c>
      <c r="D220" s="13">
        <v>31.7</v>
      </c>
      <c r="E220" s="18"/>
      <c r="F220" s="19">
        <v>1444</v>
      </c>
      <c r="G220" s="215">
        <f t="shared" si="92"/>
        <v>60</v>
      </c>
      <c r="H220" s="19">
        <f t="shared" si="135"/>
        <v>1504</v>
      </c>
      <c r="I220" s="15"/>
      <c r="J220" s="22"/>
      <c r="K220" s="15"/>
      <c r="L220" s="15"/>
      <c r="M220" s="22"/>
      <c r="N220" s="22"/>
      <c r="O220" s="22">
        <f t="shared" si="93"/>
        <v>20379</v>
      </c>
      <c r="P220" s="19">
        <f t="shared" si="94"/>
        <v>2058</v>
      </c>
      <c r="Q220" s="19">
        <f t="shared" si="95"/>
        <v>22437</v>
      </c>
      <c r="R220" s="6">
        <f t="shared" si="96"/>
        <v>236</v>
      </c>
      <c r="S220" s="6"/>
      <c r="T220" s="6"/>
      <c r="U220" s="122">
        <f t="shared" si="126"/>
        <v>1725</v>
      </c>
      <c r="V220" s="122">
        <f t="shared" si="127"/>
        <v>26</v>
      </c>
      <c r="W220" s="122">
        <f t="shared" si="128"/>
        <v>2025</v>
      </c>
      <c r="X220" s="6"/>
      <c r="Y220" s="168">
        <f t="shared" si="129"/>
        <v>421</v>
      </c>
      <c r="Z220" s="6"/>
      <c r="AA220" s="19">
        <f t="shared" si="130"/>
        <v>26870</v>
      </c>
      <c r="AB220" s="19">
        <f t="shared" si="131"/>
        <v>28956</v>
      </c>
      <c r="AC220" s="15">
        <f t="shared" si="132"/>
        <v>913.44</v>
      </c>
      <c r="AD220" s="15">
        <f t="shared" si="133"/>
        <v>28956.05</v>
      </c>
      <c r="AE220" s="25"/>
      <c r="AF220" s="157">
        <f t="shared" si="125"/>
        <v>0.05</v>
      </c>
    </row>
    <row r="221" spans="1:32" s="4" customFormat="1" x14ac:dyDescent="0.25">
      <c r="A221" s="64" t="s">
        <v>952</v>
      </c>
      <c r="B221" s="69" t="s">
        <v>906</v>
      </c>
      <c r="C221" s="12" t="s">
        <v>72</v>
      </c>
      <c r="D221" s="13">
        <f>245.3</f>
        <v>245.3</v>
      </c>
      <c r="E221" s="18"/>
      <c r="F221" s="19">
        <v>104213</v>
      </c>
      <c r="G221" s="215">
        <f t="shared" si="92"/>
        <v>4324</v>
      </c>
      <c r="H221" s="19">
        <f t="shared" si="135"/>
        <v>108537</v>
      </c>
      <c r="I221" s="15"/>
      <c r="J221" s="22"/>
      <c r="K221" s="15"/>
      <c r="L221" s="15"/>
      <c r="M221" s="22"/>
      <c r="N221" s="22"/>
      <c r="O221" s="22">
        <f t="shared" si="93"/>
        <v>1470676</v>
      </c>
      <c r="P221" s="19">
        <f t="shared" si="94"/>
        <v>148538</v>
      </c>
      <c r="Q221" s="19">
        <f t="shared" si="95"/>
        <v>1619214</v>
      </c>
      <c r="R221" s="6">
        <f t="shared" si="96"/>
        <v>17002</v>
      </c>
      <c r="S221" s="6"/>
      <c r="T221" s="6"/>
      <c r="U221" s="122">
        <f t="shared" si="126"/>
        <v>124464</v>
      </c>
      <c r="V221" s="122">
        <f t="shared" si="127"/>
        <v>1907</v>
      </c>
      <c r="W221" s="122">
        <f t="shared" si="128"/>
        <v>146161</v>
      </c>
      <c r="X221" s="6"/>
      <c r="Y221" s="168">
        <f t="shared" si="129"/>
        <v>30374</v>
      </c>
      <c r="Z221" s="6"/>
      <c r="AA221" s="19">
        <f t="shared" si="130"/>
        <v>1939122</v>
      </c>
      <c r="AB221" s="19">
        <f t="shared" si="131"/>
        <v>2089637</v>
      </c>
      <c r="AC221" s="15">
        <f t="shared" si="132"/>
        <v>8518.7000000000007</v>
      </c>
      <c r="AD221" s="15">
        <f t="shared" si="133"/>
        <v>2089637.11</v>
      </c>
      <c r="AE221" s="25"/>
      <c r="AF221" s="157">
        <f t="shared" si="125"/>
        <v>0.11</v>
      </c>
    </row>
    <row r="222" spans="1:32" s="4" customFormat="1" x14ac:dyDescent="0.25">
      <c r="A222" s="64" t="s">
        <v>953</v>
      </c>
      <c r="B222" s="69" t="s">
        <v>893</v>
      </c>
      <c r="C222" s="12" t="s">
        <v>72</v>
      </c>
      <c r="D222" s="13">
        <v>353.6</v>
      </c>
      <c r="E222" s="18"/>
      <c r="F222" s="19">
        <v>86318</v>
      </c>
      <c r="G222" s="215">
        <f t="shared" si="92"/>
        <v>3581</v>
      </c>
      <c r="H222" s="19">
        <f t="shared" si="135"/>
        <v>89899</v>
      </c>
      <c r="I222" s="15"/>
      <c r="J222" s="22"/>
      <c r="K222" s="15"/>
      <c r="L222" s="15"/>
      <c r="M222" s="22"/>
      <c r="N222" s="22"/>
      <c r="O222" s="22">
        <f t="shared" si="93"/>
        <v>1218131</v>
      </c>
      <c r="P222" s="19">
        <f t="shared" si="94"/>
        <v>123031</v>
      </c>
      <c r="Q222" s="19">
        <f t="shared" si="95"/>
        <v>1341162</v>
      </c>
      <c r="R222" s="6">
        <f t="shared" si="96"/>
        <v>14082</v>
      </c>
      <c r="S222" s="6"/>
      <c r="T222" s="6"/>
      <c r="U222" s="122">
        <f t="shared" si="126"/>
        <v>103091</v>
      </c>
      <c r="V222" s="122">
        <f t="shared" si="127"/>
        <v>1579</v>
      </c>
      <c r="W222" s="122">
        <f t="shared" si="128"/>
        <v>121063</v>
      </c>
      <c r="X222" s="6"/>
      <c r="Y222" s="168">
        <f t="shared" si="129"/>
        <v>25158</v>
      </c>
      <c r="Z222" s="6"/>
      <c r="AA222" s="19">
        <f t="shared" si="130"/>
        <v>1606135</v>
      </c>
      <c r="AB222" s="19">
        <f t="shared" si="131"/>
        <v>1730803</v>
      </c>
      <c r="AC222" s="15">
        <f t="shared" si="132"/>
        <v>4894.8</v>
      </c>
      <c r="AD222" s="15">
        <f t="shared" si="133"/>
        <v>1730801.28</v>
      </c>
      <c r="AE222" s="25"/>
      <c r="AF222" s="157">
        <f t="shared" si="125"/>
        <v>-1.72</v>
      </c>
    </row>
    <row r="223" spans="1:32" s="4" customFormat="1" x14ac:dyDescent="0.25">
      <c r="A223" s="64" t="s">
        <v>954</v>
      </c>
      <c r="B223" s="69" t="s">
        <v>894</v>
      </c>
      <c r="C223" s="12" t="s">
        <v>72</v>
      </c>
      <c r="D223" s="13">
        <v>353.6</v>
      </c>
      <c r="E223" s="18"/>
      <c r="F223" s="19">
        <v>46020</v>
      </c>
      <c r="G223" s="215">
        <f t="shared" si="92"/>
        <v>1909</v>
      </c>
      <c r="H223" s="19">
        <f t="shared" si="135"/>
        <v>47929</v>
      </c>
      <c r="I223" s="15"/>
      <c r="J223" s="22"/>
      <c r="K223" s="15"/>
      <c r="L223" s="15"/>
      <c r="M223" s="22"/>
      <c r="N223" s="22"/>
      <c r="O223" s="22">
        <f t="shared" si="93"/>
        <v>649438</v>
      </c>
      <c r="P223" s="19">
        <f t="shared" si="94"/>
        <v>65593</v>
      </c>
      <c r="Q223" s="19">
        <f t="shared" si="95"/>
        <v>715031</v>
      </c>
      <c r="R223" s="6">
        <f t="shared" si="96"/>
        <v>7508</v>
      </c>
      <c r="S223" s="6"/>
      <c r="T223" s="6"/>
      <c r="U223" s="122">
        <f t="shared" si="126"/>
        <v>54962</v>
      </c>
      <c r="V223" s="122">
        <f t="shared" si="127"/>
        <v>842</v>
      </c>
      <c r="W223" s="122">
        <f t="shared" si="128"/>
        <v>64544</v>
      </c>
      <c r="X223" s="6"/>
      <c r="Y223" s="168">
        <f t="shared" si="129"/>
        <v>13413</v>
      </c>
      <c r="Z223" s="6"/>
      <c r="AA223" s="19">
        <f t="shared" si="130"/>
        <v>856300</v>
      </c>
      <c r="AB223" s="19">
        <f t="shared" si="131"/>
        <v>922766</v>
      </c>
      <c r="AC223" s="15">
        <f t="shared" si="132"/>
        <v>2609.63</v>
      </c>
      <c r="AD223" s="15">
        <f t="shared" si="133"/>
        <v>922765.17</v>
      </c>
      <c r="AE223" s="25"/>
      <c r="AF223" s="157">
        <f t="shared" si="125"/>
        <v>-0.83</v>
      </c>
    </row>
    <row r="224" spans="1:32" s="4" customFormat="1" x14ac:dyDescent="0.25">
      <c r="A224" s="64" t="s">
        <v>955</v>
      </c>
      <c r="B224" s="69" t="s">
        <v>907</v>
      </c>
      <c r="C224" s="12" t="s">
        <v>72</v>
      </c>
      <c r="D224" s="13">
        <v>16</v>
      </c>
      <c r="E224" s="18"/>
      <c r="F224" s="19">
        <v>1506</v>
      </c>
      <c r="G224" s="215">
        <f t="shared" si="92"/>
        <v>62</v>
      </c>
      <c r="H224" s="19">
        <f t="shared" si="135"/>
        <v>1568</v>
      </c>
      <c r="I224" s="15"/>
      <c r="J224" s="22"/>
      <c r="K224" s="15"/>
      <c r="L224" s="15"/>
      <c r="M224" s="22"/>
      <c r="N224" s="22"/>
      <c r="O224" s="22">
        <f t="shared" si="93"/>
        <v>21246</v>
      </c>
      <c r="P224" s="19">
        <f t="shared" si="94"/>
        <v>2146</v>
      </c>
      <c r="Q224" s="19">
        <f t="shared" si="95"/>
        <v>23392</v>
      </c>
      <c r="R224" s="6">
        <f t="shared" si="96"/>
        <v>246</v>
      </c>
      <c r="S224" s="6"/>
      <c r="T224" s="6"/>
      <c r="U224" s="122">
        <f t="shared" si="126"/>
        <v>1798</v>
      </c>
      <c r="V224" s="122">
        <f t="shared" si="127"/>
        <v>28</v>
      </c>
      <c r="W224" s="122">
        <f t="shared" si="128"/>
        <v>2112</v>
      </c>
      <c r="X224" s="6"/>
      <c r="Y224" s="168">
        <f t="shared" si="129"/>
        <v>439</v>
      </c>
      <c r="Z224" s="6"/>
      <c r="AA224" s="19">
        <f t="shared" si="130"/>
        <v>28015</v>
      </c>
      <c r="AB224" s="19">
        <f t="shared" si="131"/>
        <v>30190</v>
      </c>
      <c r="AC224" s="15">
        <f t="shared" si="132"/>
        <v>1886.88</v>
      </c>
      <c r="AD224" s="15">
        <f t="shared" si="133"/>
        <v>30190.080000000002</v>
      </c>
      <c r="AE224" s="25"/>
      <c r="AF224" s="157">
        <f t="shared" si="125"/>
        <v>0.08</v>
      </c>
    </row>
    <row r="225" spans="1:32" s="4" customFormat="1" ht="25.5" x14ac:dyDescent="0.25">
      <c r="A225" s="64" t="s">
        <v>956</v>
      </c>
      <c r="B225" s="69" t="s">
        <v>908</v>
      </c>
      <c r="C225" s="12" t="s">
        <v>72</v>
      </c>
      <c r="D225" s="13">
        <v>23.1</v>
      </c>
      <c r="E225" s="18"/>
      <c r="F225" s="19">
        <v>6217</v>
      </c>
      <c r="G225" s="215">
        <f t="shared" si="92"/>
        <v>258</v>
      </c>
      <c r="H225" s="19">
        <f t="shared" si="135"/>
        <v>6475</v>
      </c>
      <c r="I225" s="15"/>
      <c r="J225" s="22"/>
      <c r="K225" s="15"/>
      <c r="L225" s="15"/>
      <c r="M225" s="22"/>
      <c r="N225" s="22"/>
      <c r="O225" s="22">
        <f t="shared" si="93"/>
        <v>87736</v>
      </c>
      <c r="P225" s="19">
        <f t="shared" si="94"/>
        <v>8861</v>
      </c>
      <c r="Q225" s="19">
        <f t="shared" si="95"/>
        <v>96597</v>
      </c>
      <c r="R225" s="6">
        <f t="shared" si="96"/>
        <v>1014</v>
      </c>
      <c r="S225" s="6"/>
      <c r="T225" s="6"/>
      <c r="U225" s="122">
        <f t="shared" si="126"/>
        <v>7425</v>
      </c>
      <c r="V225" s="122">
        <f t="shared" si="127"/>
        <v>114</v>
      </c>
      <c r="W225" s="122">
        <f t="shared" si="128"/>
        <v>8720</v>
      </c>
      <c r="X225" s="6"/>
      <c r="Y225" s="168">
        <f t="shared" si="129"/>
        <v>1812</v>
      </c>
      <c r="Z225" s="6"/>
      <c r="AA225" s="19">
        <f t="shared" si="130"/>
        <v>115682</v>
      </c>
      <c r="AB225" s="19">
        <f t="shared" si="131"/>
        <v>124661</v>
      </c>
      <c r="AC225" s="15">
        <f t="shared" si="132"/>
        <v>5396.58</v>
      </c>
      <c r="AD225" s="15">
        <f t="shared" si="133"/>
        <v>124661</v>
      </c>
      <c r="AE225" s="25"/>
      <c r="AF225" s="157">
        <f t="shared" si="125"/>
        <v>0</v>
      </c>
    </row>
    <row r="226" spans="1:32" s="4" customFormat="1" x14ac:dyDescent="0.25">
      <c r="A226" s="23" t="s">
        <v>957</v>
      </c>
      <c r="B226" s="26" t="s">
        <v>909</v>
      </c>
      <c r="C226" s="21"/>
      <c r="D226" s="212"/>
      <c r="E226" s="213"/>
      <c r="F226" s="31"/>
      <c r="G226" s="215"/>
      <c r="H226" s="19"/>
      <c r="I226" s="32"/>
      <c r="J226" s="22"/>
      <c r="K226" s="15"/>
      <c r="L226" s="15"/>
      <c r="M226" s="31"/>
      <c r="N226" s="31"/>
      <c r="O226" s="22"/>
      <c r="P226" s="19"/>
      <c r="Q226" s="19"/>
      <c r="R226" s="6"/>
      <c r="S226" s="6"/>
      <c r="T226" s="6"/>
      <c r="U226" s="122"/>
      <c r="V226" s="122"/>
      <c r="W226" s="122"/>
      <c r="X226" s="6"/>
      <c r="Y226" s="168"/>
      <c r="Z226" s="6"/>
      <c r="AA226" s="19"/>
      <c r="AB226" s="19"/>
      <c r="AC226" s="15"/>
      <c r="AD226" s="15"/>
      <c r="AE226" s="25"/>
      <c r="AF226" s="157">
        <f t="shared" ref="AF226:AF231" si="136">AD226-AB226</f>
        <v>0</v>
      </c>
    </row>
    <row r="227" spans="1:32" s="4" customFormat="1" x14ac:dyDescent="0.25">
      <c r="A227" s="64" t="s">
        <v>958</v>
      </c>
      <c r="B227" s="69" t="s">
        <v>910</v>
      </c>
      <c r="C227" s="12" t="s">
        <v>70</v>
      </c>
      <c r="D227" s="13">
        <v>6282</v>
      </c>
      <c r="E227" s="18"/>
      <c r="F227" s="19">
        <v>1777218</v>
      </c>
      <c r="G227" s="215">
        <f t="shared" si="92"/>
        <v>73739</v>
      </c>
      <c r="H227" s="19">
        <f t="shared" si="135"/>
        <v>1850957</v>
      </c>
      <c r="I227" s="15"/>
      <c r="J227" s="22"/>
      <c r="K227" s="15"/>
      <c r="L227" s="15"/>
      <c r="M227" s="22"/>
      <c r="N227" s="22"/>
      <c r="O227" s="22">
        <f t="shared" si="93"/>
        <v>25080467</v>
      </c>
      <c r="P227" s="19">
        <f t="shared" si="94"/>
        <v>2533127</v>
      </c>
      <c r="Q227" s="19">
        <f t="shared" si="95"/>
        <v>27613594</v>
      </c>
      <c r="R227" s="6">
        <f t="shared" si="96"/>
        <v>289943</v>
      </c>
      <c r="S227" s="6"/>
      <c r="T227" s="6"/>
      <c r="U227" s="122">
        <f>Q227*$U$6</f>
        <v>2122576</v>
      </c>
      <c r="V227" s="122">
        <f>Q227*$V$6</f>
        <v>32513</v>
      </c>
      <c r="W227" s="122">
        <f>Q227*$W$6</f>
        <v>2492594</v>
      </c>
      <c r="X227" s="6"/>
      <c r="Y227" s="168">
        <f>Q227*$Y$7</f>
        <v>517995</v>
      </c>
      <c r="Z227" s="6"/>
      <c r="AA227" s="19">
        <f>SUM(Q227:Z227)</f>
        <v>33069215</v>
      </c>
      <c r="AB227" s="19">
        <f>$AA227*AB$7</f>
        <v>35636047</v>
      </c>
      <c r="AC227" s="15">
        <f>AB227/D227</f>
        <v>5672.72</v>
      </c>
      <c r="AD227" s="15">
        <f>AC227*D227</f>
        <v>35636027.039999999</v>
      </c>
      <c r="AE227" s="25"/>
      <c r="AF227" s="157">
        <f t="shared" si="136"/>
        <v>-19.96</v>
      </c>
    </row>
    <row r="228" spans="1:32" s="4" customFormat="1" x14ac:dyDescent="0.25">
      <c r="A228" s="64" t="s">
        <v>959</v>
      </c>
      <c r="B228" s="69" t="s">
        <v>911</v>
      </c>
      <c r="C228" s="12" t="s">
        <v>70</v>
      </c>
      <c r="D228" s="13">
        <v>52.8</v>
      </c>
      <c r="E228" s="18"/>
      <c r="F228" s="19">
        <v>92355</v>
      </c>
      <c r="G228" s="215">
        <f t="shared" si="92"/>
        <v>3832</v>
      </c>
      <c r="H228" s="19">
        <f t="shared" si="135"/>
        <v>96187</v>
      </c>
      <c r="I228" s="15"/>
      <c r="J228" s="22"/>
      <c r="K228" s="15"/>
      <c r="L228" s="15"/>
      <c r="M228" s="22"/>
      <c r="N228" s="22"/>
      <c r="O228" s="22">
        <f t="shared" si="93"/>
        <v>1303334</v>
      </c>
      <c r="P228" s="19">
        <f t="shared" si="94"/>
        <v>131637</v>
      </c>
      <c r="Q228" s="19">
        <f t="shared" si="95"/>
        <v>1434971</v>
      </c>
      <c r="R228" s="6">
        <f t="shared" si="96"/>
        <v>15067</v>
      </c>
      <c r="S228" s="6"/>
      <c r="T228" s="6"/>
      <c r="U228" s="122">
        <f>Q228*$U$6</f>
        <v>110302</v>
      </c>
      <c r="V228" s="122">
        <f>Q228*$V$6</f>
        <v>1690</v>
      </c>
      <c r="W228" s="122">
        <f>Q228*$W$6</f>
        <v>129530</v>
      </c>
      <c r="X228" s="6"/>
      <c r="Y228" s="168">
        <f>Q228*$Y$7</f>
        <v>26918</v>
      </c>
      <c r="Z228" s="6"/>
      <c r="AA228" s="19">
        <f>SUM(Q228:Z228)</f>
        <v>1718478</v>
      </c>
      <c r="AB228" s="19">
        <f>$AA228*AB$7</f>
        <v>1851866</v>
      </c>
      <c r="AC228" s="15">
        <f>AB228/D228</f>
        <v>35073.22</v>
      </c>
      <c r="AD228" s="15">
        <f>AC228*D228</f>
        <v>1851866.02</v>
      </c>
      <c r="AE228" s="25"/>
      <c r="AF228" s="157">
        <f t="shared" si="136"/>
        <v>0.02</v>
      </c>
    </row>
    <row r="229" spans="1:32" s="4" customFormat="1" ht="25.5" x14ac:dyDescent="0.25">
      <c r="A229" s="64" t="s">
        <v>960</v>
      </c>
      <c r="B229" s="69" t="s">
        <v>912</v>
      </c>
      <c r="C229" s="12" t="s">
        <v>72</v>
      </c>
      <c r="D229" s="13">
        <v>1434</v>
      </c>
      <c r="E229" s="18"/>
      <c r="F229" s="19">
        <v>239449</v>
      </c>
      <c r="G229" s="215">
        <f t="shared" si="92"/>
        <v>9935</v>
      </c>
      <c r="H229" s="19">
        <f t="shared" si="135"/>
        <v>249384</v>
      </c>
      <c r="I229" s="15"/>
      <c r="J229" s="22"/>
      <c r="K229" s="15"/>
      <c r="L229" s="15"/>
      <c r="M229" s="22"/>
      <c r="N229" s="22"/>
      <c r="O229" s="22">
        <f t="shared" si="93"/>
        <v>3379153</v>
      </c>
      <c r="P229" s="19">
        <f t="shared" si="94"/>
        <v>341294</v>
      </c>
      <c r="Q229" s="19">
        <f t="shared" si="95"/>
        <v>3720447</v>
      </c>
      <c r="R229" s="6">
        <f t="shared" si="96"/>
        <v>39065</v>
      </c>
      <c r="S229" s="6"/>
      <c r="T229" s="6"/>
      <c r="U229" s="122">
        <f>Q229*$U$6</f>
        <v>285980</v>
      </c>
      <c r="V229" s="122">
        <f>Q229*$V$6</f>
        <v>4381</v>
      </c>
      <c r="W229" s="122">
        <f>Q229*$W$6</f>
        <v>335833</v>
      </c>
      <c r="X229" s="6"/>
      <c r="Y229" s="168">
        <f>Q229*$Y$7</f>
        <v>69791</v>
      </c>
      <c r="Z229" s="6"/>
      <c r="AA229" s="19">
        <f>SUM(Q229:Z229)</f>
        <v>4455497</v>
      </c>
      <c r="AB229" s="19">
        <f>$AA229*AB$7</f>
        <v>4801333</v>
      </c>
      <c r="AC229" s="15">
        <f>AB229/D229</f>
        <v>3348.21</v>
      </c>
      <c r="AD229" s="15">
        <f>AC229*D229</f>
        <v>4801333.1399999997</v>
      </c>
      <c r="AE229" s="25"/>
      <c r="AF229" s="157">
        <f t="shared" si="136"/>
        <v>0.14000000000000001</v>
      </c>
    </row>
    <row r="230" spans="1:32" s="4" customFormat="1" ht="25.5" x14ac:dyDescent="0.25">
      <c r="A230" s="64" t="s">
        <v>961</v>
      </c>
      <c r="B230" s="69" t="s">
        <v>913</v>
      </c>
      <c r="C230" s="12" t="s">
        <v>890</v>
      </c>
      <c r="D230" s="13">
        <f>32+37</f>
        <v>69</v>
      </c>
      <c r="E230" s="18"/>
      <c r="F230" s="19">
        <v>9828</v>
      </c>
      <c r="G230" s="215">
        <f t="shared" si="92"/>
        <v>408</v>
      </c>
      <c r="H230" s="19">
        <f t="shared" si="135"/>
        <v>10236</v>
      </c>
      <c r="I230" s="15"/>
      <c r="J230" s="22"/>
      <c r="K230" s="15"/>
      <c r="L230" s="15"/>
      <c r="M230" s="22"/>
      <c r="N230" s="22"/>
      <c r="O230" s="22">
        <f t="shared" si="93"/>
        <v>138698</v>
      </c>
      <c r="P230" s="19">
        <f t="shared" si="94"/>
        <v>14008</v>
      </c>
      <c r="Q230" s="19">
        <f t="shared" si="95"/>
        <v>152706</v>
      </c>
      <c r="R230" s="6">
        <f t="shared" si="96"/>
        <v>1603</v>
      </c>
      <c r="S230" s="6"/>
      <c r="T230" s="6"/>
      <c r="U230" s="122">
        <f>Q230*$U$6</f>
        <v>11738</v>
      </c>
      <c r="V230" s="122">
        <f>Q230*$V$6</f>
        <v>180</v>
      </c>
      <c r="W230" s="122">
        <f>Q230*$W$6</f>
        <v>13784</v>
      </c>
      <c r="X230" s="6"/>
      <c r="Y230" s="168">
        <f>Q230*$Y$7</f>
        <v>2865</v>
      </c>
      <c r="Z230" s="6"/>
      <c r="AA230" s="19">
        <f>SUM(Q230:Z230)</f>
        <v>182876</v>
      </c>
      <c r="AB230" s="19">
        <f>$AA230*AB$7</f>
        <v>197071</v>
      </c>
      <c r="AC230" s="15">
        <f>AB230/D230</f>
        <v>2856.1</v>
      </c>
      <c r="AD230" s="15">
        <f>AC230*D230</f>
        <v>197070.9</v>
      </c>
      <c r="AE230" s="25"/>
      <c r="AF230" s="157">
        <f t="shared" si="136"/>
        <v>-0.1</v>
      </c>
    </row>
    <row r="231" spans="1:32" s="4" customFormat="1" x14ac:dyDescent="0.25">
      <c r="A231" s="64" t="s">
        <v>962</v>
      </c>
      <c r="B231" s="69" t="s">
        <v>914</v>
      </c>
      <c r="C231" s="12" t="s">
        <v>72</v>
      </c>
      <c r="D231" s="13">
        <v>1449</v>
      </c>
      <c r="E231" s="18"/>
      <c r="F231" s="19">
        <v>41054</v>
      </c>
      <c r="G231" s="215">
        <f t="shared" si="92"/>
        <v>1703</v>
      </c>
      <c r="H231" s="19">
        <f t="shared" si="135"/>
        <v>42757</v>
      </c>
      <c r="I231" s="15"/>
      <c r="J231" s="22"/>
      <c r="K231" s="15"/>
      <c r="L231" s="15"/>
      <c r="M231" s="22"/>
      <c r="N231" s="22"/>
      <c r="O231" s="22">
        <f t="shared" si="93"/>
        <v>579357</v>
      </c>
      <c r="P231" s="19">
        <f t="shared" si="94"/>
        <v>58515</v>
      </c>
      <c r="Q231" s="19">
        <f t="shared" si="95"/>
        <v>637872</v>
      </c>
      <c r="R231" s="6">
        <f t="shared" si="96"/>
        <v>6698</v>
      </c>
      <c r="S231" s="6"/>
      <c r="T231" s="6"/>
      <c r="U231" s="122">
        <f>Q231*$U$6</f>
        <v>49031</v>
      </c>
      <c r="V231" s="122">
        <f>Q231*$V$6</f>
        <v>751</v>
      </c>
      <c r="W231" s="122">
        <f>Q231*$W$6</f>
        <v>57579</v>
      </c>
      <c r="X231" s="6"/>
      <c r="Y231" s="168">
        <f>Q231*$Y$7</f>
        <v>11966</v>
      </c>
      <c r="Z231" s="6"/>
      <c r="AA231" s="19">
        <f>SUM(Q231:Z231)</f>
        <v>763897</v>
      </c>
      <c r="AB231" s="19">
        <f>$AA231*AB$7</f>
        <v>823191</v>
      </c>
      <c r="AC231" s="15">
        <f>AB231/D231</f>
        <v>568.11</v>
      </c>
      <c r="AD231" s="15">
        <f>AC231*D231</f>
        <v>823191.39</v>
      </c>
      <c r="AE231" s="25"/>
      <c r="AF231" s="157">
        <f t="shared" si="136"/>
        <v>0.39</v>
      </c>
    </row>
    <row r="232" spans="1:32" s="4" customFormat="1" x14ac:dyDescent="0.25">
      <c r="A232" s="23" t="s">
        <v>963</v>
      </c>
      <c r="B232" s="26" t="s">
        <v>491</v>
      </c>
      <c r="C232" s="21"/>
      <c r="D232" s="212"/>
      <c r="E232" s="213"/>
      <c r="F232" s="31"/>
      <c r="G232" s="215"/>
      <c r="H232" s="19"/>
      <c r="I232" s="32"/>
      <c r="J232" s="22"/>
      <c r="K232" s="15"/>
      <c r="L232" s="15"/>
      <c r="M232" s="31"/>
      <c r="N232" s="31"/>
      <c r="O232" s="22"/>
      <c r="P232" s="19"/>
      <c r="Q232" s="19"/>
      <c r="R232" s="6"/>
      <c r="S232" s="6"/>
      <c r="T232" s="6"/>
      <c r="U232" s="122"/>
      <c r="V232" s="122"/>
      <c r="W232" s="122"/>
      <c r="X232" s="6"/>
      <c r="Y232" s="168"/>
      <c r="Z232" s="6"/>
      <c r="AA232" s="19"/>
      <c r="AB232" s="19"/>
      <c r="AC232" s="15"/>
      <c r="AD232" s="15"/>
      <c r="AE232" s="25"/>
      <c r="AF232" s="157">
        <f t="shared" ref="AF232:AF234" si="137">AD232-AB232</f>
        <v>0</v>
      </c>
    </row>
    <row r="233" spans="1:32" s="4" customFormat="1" x14ac:dyDescent="0.25">
      <c r="A233" s="64" t="s">
        <v>964</v>
      </c>
      <c r="B233" s="69" t="s">
        <v>915</v>
      </c>
      <c r="C233" s="12" t="s">
        <v>70</v>
      </c>
      <c r="D233" s="13">
        <v>11.92</v>
      </c>
      <c r="E233" s="18"/>
      <c r="F233" s="19">
        <v>44150</v>
      </c>
      <c r="G233" s="215">
        <f t="shared" si="92"/>
        <v>1832</v>
      </c>
      <c r="H233" s="19">
        <f t="shared" si="135"/>
        <v>45982</v>
      </c>
      <c r="I233" s="15"/>
      <c r="J233" s="22"/>
      <c r="K233" s="15"/>
      <c r="L233" s="15"/>
      <c r="M233" s="22"/>
      <c r="N233" s="22"/>
      <c r="O233" s="22">
        <f t="shared" si="93"/>
        <v>623056</v>
      </c>
      <c r="P233" s="19">
        <f t="shared" si="94"/>
        <v>62929</v>
      </c>
      <c r="Q233" s="19">
        <f t="shared" si="95"/>
        <v>685985</v>
      </c>
      <c r="R233" s="6">
        <f t="shared" si="96"/>
        <v>7203</v>
      </c>
      <c r="S233" s="6"/>
      <c r="T233" s="6"/>
      <c r="U233" s="122">
        <f>Q233*$U$6</f>
        <v>52730</v>
      </c>
      <c r="V233" s="122">
        <f>Q233*$V$6</f>
        <v>808</v>
      </c>
      <c r="W233" s="122">
        <f>Q233*$W$6</f>
        <v>61922</v>
      </c>
      <c r="X233" s="6"/>
      <c r="Y233" s="168">
        <f>Q233*$Y$7</f>
        <v>12868</v>
      </c>
      <c r="Z233" s="6"/>
      <c r="AA233" s="19">
        <f>SUM(Q233:Z233)</f>
        <v>821516</v>
      </c>
      <c r="AB233" s="19">
        <f>$AA233*AB$7</f>
        <v>885282</v>
      </c>
      <c r="AC233" s="15">
        <f>AB233/D233</f>
        <v>74268.62</v>
      </c>
      <c r="AD233" s="15">
        <f>AC233*D233</f>
        <v>885281.95</v>
      </c>
      <c r="AE233" s="25"/>
      <c r="AF233" s="157">
        <f t="shared" si="137"/>
        <v>-0.05</v>
      </c>
    </row>
    <row r="234" spans="1:32" s="4" customFormat="1" ht="25.5" x14ac:dyDescent="0.25">
      <c r="A234" s="64" t="s">
        <v>965</v>
      </c>
      <c r="B234" s="69" t="s">
        <v>916</v>
      </c>
      <c r="C234" s="12" t="s">
        <v>311</v>
      </c>
      <c r="D234" s="13">
        <v>0.53</v>
      </c>
      <c r="E234" s="18"/>
      <c r="F234" s="19">
        <v>13113</v>
      </c>
      <c r="G234" s="215">
        <f t="shared" si="92"/>
        <v>544</v>
      </c>
      <c r="H234" s="19">
        <f t="shared" si="135"/>
        <v>13657</v>
      </c>
      <c r="I234" s="15"/>
      <c r="J234" s="22"/>
      <c r="K234" s="15"/>
      <c r="L234" s="15"/>
      <c r="M234" s="22"/>
      <c r="N234" s="22"/>
      <c r="O234" s="22">
        <f t="shared" si="93"/>
        <v>185052</v>
      </c>
      <c r="P234" s="19">
        <f t="shared" si="94"/>
        <v>18690</v>
      </c>
      <c r="Q234" s="19">
        <f t="shared" si="95"/>
        <v>203742</v>
      </c>
      <c r="R234" s="6">
        <f t="shared" si="96"/>
        <v>2139</v>
      </c>
      <c r="S234" s="6"/>
      <c r="T234" s="6"/>
      <c r="U234" s="122">
        <f>Q234*$U$6</f>
        <v>15661</v>
      </c>
      <c r="V234" s="122">
        <f>Q234*$V$6</f>
        <v>240</v>
      </c>
      <c r="W234" s="122">
        <f>Q234*$W$6</f>
        <v>18391</v>
      </c>
      <c r="X234" s="6"/>
      <c r="Y234" s="168">
        <f>Q234*$Y$7</f>
        <v>3822</v>
      </c>
      <c r="Z234" s="6"/>
      <c r="AA234" s="19">
        <f>SUM(Q234:Z234)</f>
        <v>243995</v>
      </c>
      <c r="AB234" s="19">
        <f>$AA234*AB$7</f>
        <v>262934</v>
      </c>
      <c r="AC234" s="15">
        <f>AB234/D234</f>
        <v>496101.89</v>
      </c>
      <c r="AD234" s="15">
        <f>AC234*D234</f>
        <v>262934</v>
      </c>
      <c r="AE234" s="25"/>
      <c r="AF234" s="157">
        <f t="shared" si="137"/>
        <v>0</v>
      </c>
    </row>
    <row r="235" spans="1:32" s="91" customFormat="1" x14ac:dyDescent="0.25">
      <c r="A235" s="87" t="s">
        <v>124</v>
      </c>
      <c r="B235" s="101" t="s">
        <v>240</v>
      </c>
      <c r="C235" s="92"/>
      <c r="D235" s="93"/>
      <c r="E235" s="106"/>
      <c r="F235" s="106"/>
      <c r="G235" s="106"/>
      <c r="H235" s="99">
        <v>22771620</v>
      </c>
      <c r="I235" s="41"/>
      <c r="J235" s="20">
        <f>22771.62*1000</f>
        <v>22771620</v>
      </c>
      <c r="K235" s="20" t="s">
        <v>12</v>
      </c>
      <c r="L235" s="20">
        <f>H235-J235</f>
        <v>0</v>
      </c>
      <c r="M235" s="95">
        <v>286816830</v>
      </c>
      <c r="N235" s="50">
        <f>SUM(O237:O295)-M235</f>
        <v>87</v>
      </c>
      <c r="O235" s="95"/>
      <c r="P235" s="114"/>
      <c r="Q235" s="50"/>
      <c r="R235" s="50"/>
      <c r="S235" s="146"/>
      <c r="T235" s="146"/>
      <c r="U235" s="122"/>
      <c r="V235" s="122"/>
      <c r="W235" s="122"/>
      <c r="X235" s="104"/>
      <c r="Y235" s="168"/>
      <c r="Z235" s="104"/>
      <c r="AA235" s="50"/>
      <c r="AB235" s="50"/>
      <c r="AC235" s="20"/>
      <c r="AD235" s="20"/>
      <c r="AE235" s="97"/>
      <c r="AF235" s="157">
        <f t="shared" si="69"/>
        <v>0</v>
      </c>
    </row>
    <row r="236" spans="1:32" ht="15.75" x14ac:dyDescent="0.2">
      <c r="A236" s="23" t="s">
        <v>125</v>
      </c>
      <c r="B236" s="217" t="s">
        <v>121</v>
      </c>
      <c r="C236" s="218"/>
      <c r="D236" s="13"/>
      <c r="E236" s="18"/>
      <c r="F236" s="18"/>
      <c r="G236" s="219">
        <f>741962.93/SUM(F237:F295)</f>
        <v>3.36802E-2</v>
      </c>
      <c r="H236" s="31">
        <f>H235-SUM(H237:H295)</f>
        <v>-4</v>
      </c>
      <c r="I236" s="15"/>
      <c r="J236" s="22"/>
      <c r="K236" s="15"/>
      <c r="L236" s="15"/>
      <c r="M236" s="160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25"/>
      <c r="AF236" s="157">
        <f t="shared" si="69"/>
        <v>0</v>
      </c>
    </row>
    <row r="237" spans="1:32" x14ac:dyDescent="0.2">
      <c r="A237" s="64" t="s">
        <v>126</v>
      </c>
      <c r="B237" s="220" t="s">
        <v>123</v>
      </c>
      <c r="C237" s="16" t="s">
        <v>70</v>
      </c>
      <c r="D237" s="15">
        <v>241.5</v>
      </c>
      <c r="E237" s="18"/>
      <c r="F237" s="215">
        <v>1713418</v>
      </c>
      <c r="G237" s="215">
        <f>F237*$G$236</f>
        <v>57708</v>
      </c>
      <c r="H237" s="19">
        <f>F237+G237</f>
        <v>1771126</v>
      </c>
      <c r="I237" s="15"/>
      <c r="J237" s="22"/>
      <c r="K237" s="15"/>
      <c r="L237" s="15"/>
      <c r="M237" s="22"/>
      <c r="N237" s="22"/>
      <c r="O237" s="22">
        <f t="shared" ref="O237" si="138">H237*13.55</f>
        <v>23998757</v>
      </c>
      <c r="P237" s="19">
        <f>O237*10.1%</f>
        <v>2423874</v>
      </c>
      <c r="Q237" s="19">
        <f>SUM(O237:P237)</f>
        <v>26422631</v>
      </c>
      <c r="R237" s="6">
        <f>Q237*1.05%</f>
        <v>277438</v>
      </c>
      <c r="S237" s="6"/>
      <c r="T237" s="6"/>
      <c r="U237" s="122">
        <f t="shared" ref="U237:U244" si="139">Q237*$U$6</f>
        <v>2031030</v>
      </c>
      <c r="V237" s="122">
        <f t="shared" ref="V237:V244" si="140">Q237*$V$6</f>
        <v>31111</v>
      </c>
      <c r="W237" s="122">
        <f t="shared" ref="W237:W244" si="141">Q237*$W$6</f>
        <v>2385089</v>
      </c>
      <c r="X237" s="6"/>
      <c r="Y237" s="168">
        <f t="shared" ref="Y237:Y244" si="142">Q237*$Y$7</f>
        <v>495655</v>
      </c>
      <c r="Z237" s="6"/>
      <c r="AA237" s="19">
        <f t="shared" ref="AA237:AA244" si="143">SUM(Q237:Z237)</f>
        <v>31642954</v>
      </c>
      <c r="AB237" s="19">
        <f t="shared" ref="AB237:AB244" si="144">$AA237*AB$7</f>
        <v>34099080</v>
      </c>
      <c r="AC237" s="15">
        <f t="shared" ref="AC237:AC244" si="145">AB237/D237</f>
        <v>141197.01999999999</v>
      </c>
      <c r="AD237" s="15">
        <f t="shared" ref="AD237:AD244" si="146">AC237*D237</f>
        <v>34099080.329999998</v>
      </c>
      <c r="AE237" s="25"/>
      <c r="AF237" s="157">
        <f t="shared" si="69"/>
        <v>0.33</v>
      </c>
    </row>
    <row r="238" spans="1:32" s="4" customFormat="1" x14ac:dyDescent="0.25">
      <c r="A238" s="64" t="s">
        <v>968</v>
      </c>
      <c r="B238" s="69" t="s">
        <v>867</v>
      </c>
      <c r="C238" s="12" t="s">
        <v>70</v>
      </c>
      <c r="D238" s="13">
        <v>22.4</v>
      </c>
      <c r="E238" s="18"/>
      <c r="F238" s="215">
        <v>17674</v>
      </c>
      <c r="G238" s="215">
        <f t="shared" ref="G238:G295" si="147">F238*$G$236</f>
        <v>595</v>
      </c>
      <c r="H238" s="19">
        <f t="shared" ref="H238:H295" si="148">F238+G238</f>
        <v>18269</v>
      </c>
      <c r="I238" s="15"/>
      <c r="J238" s="22"/>
      <c r="K238" s="15"/>
      <c r="L238" s="15"/>
      <c r="M238" s="22"/>
      <c r="N238" s="22"/>
      <c r="O238" s="22">
        <f t="shared" ref="O238:O295" si="149">H238*13.55</f>
        <v>247545</v>
      </c>
      <c r="P238" s="19">
        <f t="shared" ref="P238:P295" si="150">O238*10.1%</f>
        <v>25002</v>
      </c>
      <c r="Q238" s="19">
        <f t="shared" ref="Q238:Q295" si="151">SUM(O238:P238)</f>
        <v>272547</v>
      </c>
      <c r="R238" s="6">
        <f t="shared" ref="R238:R295" si="152">Q238*1.05%</f>
        <v>2862</v>
      </c>
      <c r="S238" s="6"/>
      <c r="T238" s="6"/>
      <c r="U238" s="122">
        <f t="shared" si="139"/>
        <v>20950</v>
      </c>
      <c r="V238" s="122">
        <f t="shared" si="140"/>
        <v>321</v>
      </c>
      <c r="W238" s="122">
        <f t="shared" si="141"/>
        <v>24602</v>
      </c>
      <c r="X238" s="6"/>
      <c r="Y238" s="168">
        <f t="shared" si="142"/>
        <v>5113</v>
      </c>
      <c r="Z238" s="6"/>
      <c r="AA238" s="19">
        <f t="shared" si="143"/>
        <v>326395</v>
      </c>
      <c r="AB238" s="19">
        <f t="shared" si="144"/>
        <v>351730</v>
      </c>
      <c r="AC238" s="15">
        <f t="shared" si="145"/>
        <v>15702.23</v>
      </c>
      <c r="AD238" s="15">
        <f t="shared" si="146"/>
        <v>351729.95</v>
      </c>
      <c r="AE238" s="25"/>
      <c r="AF238" s="157">
        <f t="shared" si="69"/>
        <v>-0.05</v>
      </c>
    </row>
    <row r="239" spans="1:32" s="4" customFormat="1" x14ac:dyDescent="0.25">
      <c r="A239" s="64" t="s">
        <v>969</v>
      </c>
      <c r="B239" s="69" t="s">
        <v>868</v>
      </c>
      <c r="C239" s="12" t="s">
        <v>70</v>
      </c>
      <c r="D239" s="13">
        <v>281.8</v>
      </c>
      <c r="E239" s="18"/>
      <c r="F239" s="215">
        <v>749747</v>
      </c>
      <c r="G239" s="215">
        <f t="shared" si="147"/>
        <v>25252</v>
      </c>
      <c r="H239" s="19">
        <f t="shared" si="148"/>
        <v>774999</v>
      </c>
      <c r="I239" s="15"/>
      <c r="J239" s="22"/>
      <c r="K239" s="15"/>
      <c r="L239" s="15"/>
      <c r="M239" s="22"/>
      <c r="N239" s="22"/>
      <c r="O239" s="22">
        <f t="shared" si="149"/>
        <v>10501236</v>
      </c>
      <c r="P239" s="19">
        <f t="shared" si="150"/>
        <v>1060625</v>
      </c>
      <c r="Q239" s="19">
        <f t="shared" si="151"/>
        <v>11561861</v>
      </c>
      <c r="R239" s="6">
        <f t="shared" si="152"/>
        <v>121400</v>
      </c>
      <c r="S239" s="6"/>
      <c r="T239" s="6"/>
      <c r="U239" s="122">
        <f t="shared" si="139"/>
        <v>888726</v>
      </c>
      <c r="V239" s="122">
        <f t="shared" si="140"/>
        <v>13613</v>
      </c>
      <c r="W239" s="122">
        <f t="shared" si="141"/>
        <v>1043653</v>
      </c>
      <c r="X239" s="6"/>
      <c r="Y239" s="168">
        <f t="shared" si="142"/>
        <v>216886</v>
      </c>
      <c r="Z239" s="6"/>
      <c r="AA239" s="19">
        <f t="shared" si="143"/>
        <v>13846139</v>
      </c>
      <c r="AB239" s="19">
        <f t="shared" si="144"/>
        <v>14920876</v>
      </c>
      <c r="AC239" s="15">
        <f t="shared" si="145"/>
        <v>52948.46</v>
      </c>
      <c r="AD239" s="15">
        <f t="shared" si="146"/>
        <v>14920876.029999999</v>
      </c>
      <c r="AE239" s="25"/>
      <c r="AF239" s="157">
        <f t="shared" si="69"/>
        <v>0.03</v>
      </c>
    </row>
    <row r="240" spans="1:32" s="4" customFormat="1" x14ac:dyDescent="0.25">
      <c r="A240" s="64" t="s">
        <v>970</v>
      </c>
      <c r="B240" s="69" t="s">
        <v>869</v>
      </c>
      <c r="C240" s="12" t="s">
        <v>70</v>
      </c>
      <c r="D240" s="13">
        <v>71.8</v>
      </c>
      <c r="E240" s="18"/>
      <c r="F240" s="215">
        <v>788322</v>
      </c>
      <c r="G240" s="215">
        <f t="shared" si="147"/>
        <v>26551</v>
      </c>
      <c r="H240" s="19">
        <f t="shared" si="148"/>
        <v>814873</v>
      </c>
      <c r="I240" s="15"/>
      <c r="J240" s="22"/>
      <c r="K240" s="15"/>
      <c r="L240" s="15"/>
      <c r="M240" s="22"/>
      <c r="N240" s="22"/>
      <c r="O240" s="22">
        <f t="shared" si="149"/>
        <v>11041529</v>
      </c>
      <c r="P240" s="19">
        <f t="shared" si="150"/>
        <v>1115194</v>
      </c>
      <c r="Q240" s="19">
        <f t="shared" si="151"/>
        <v>12156723</v>
      </c>
      <c r="R240" s="6">
        <f t="shared" si="152"/>
        <v>127646</v>
      </c>
      <c r="S240" s="6"/>
      <c r="T240" s="6"/>
      <c r="U240" s="122">
        <f t="shared" si="139"/>
        <v>934452</v>
      </c>
      <c r="V240" s="122">
        <f t="shared" si="140"/>
        <v>14314</v>
      </c>
      <c r="W240" s="122">
        <f t="shared" si="141"/>
        <v>1097350</v>
      </c>
      <c r="X240" s="6"/>
      <c r="Y240" s="168">
        <f t="shared" si="142"/>
        <v>228044</v>
      </c>
      <c r="Z240" s="6"/>
      <c r="AA240" s="19">
        <f t="shared" si="143"/>
        <v>14558529</v>
      </c>
      <c r="AB240" s="19">
        <f t="shared" si="144"/>
        <v>15688562</v>
      </c>
      <c r="AC240" s="15">
        <f t="shared" si="145"/>
        <v>218503.65</v>
      </c>
      <c r="AD240" s="15">
        <f t="shared" si="146"/>
        <v>15688562.07</v>
      </c>
      <c r="AE240" s="25"/>
      <c r="AF240" s="157">
        <f t="shared" si="69"/>
        <v>7.0000000000000007E-2</v>
      </c>
    </row>
    <row r="241" spans="1:32" s="4" customFormat="1" x14ac:dyDescent="0.25">
      <c r="A241" s="64" t="s">
        <v>971</v>
      </c>
      <c r="B241" s="69" t="s">
        <v>870</v>
      </c>
      <c r="C241" s="12" t="s">
        <v>70</v>
      </c>
      <c r="D241" s="13">
        <v>76.5</v>
      </c>
      <c r="E241" s="18"/>
      <c r="F241" s="215">
        <v>582830</v>
      </c>
      <c r="G241" s="215">
        <f t="shared" si="147"/>
        <v>19630</v>
      </c>
      <c r="H241" s="19">
        <f t="shared" si="148"/>
        <v>602460</v>
      </c>
      <c r="I241" s="15"/>
      <c r="J241" s="22"/>
      <c r="K241" s="15"/>
      <c r="L241" s="15"/>
      <c r="M241" s="22"/>
      <c r="N241" s="22"/>
      <c r="O241" s="22">
        <f t="shared" si="149"/>
        <v>8163333</v>
      </c>
      <c r="P241" s="19">
        <f t="shared" si="150"/>
        <v>824497</v>
      </c>
      <c r="Q241" s="19">
        <f t="shared" si="151"/>
        <v>8987830</v>
      </c>
      <c r="R241" s="6">
        <f t="shared" si="152"/>
        <v>94372</v>
      </c>
      <c r="S241" s="6"/>
      <c r="T241" s="6"/>
      <c r="U241" s="122">
        <f t="shared" si="139"/>
        <v>690868</v>
      </c>
      <c r="V241" s="122">
        <f t="shared" si="140"/>
        <v>10583</v>
      </c>
      <c r="W241" s="122">
        <f t="shared" si="141"/>
        <v>811304</v>
      </c>
      <c r="X241" s="6"/>
      <c r="Y241" s="168">
        <f t="shared" si="142"/>
        <v>168600</v>
      </c>
      <c r="Z241" s="6"/>
      <c r="AA241" s="19">
        <f t="shared" si="143"/>
        <v>10763557</v>
      </c>
      <c r="AB241" s="19">
        <f t="shared" si="144"/>
        <v>11599024</v>
      </c>
      <c r="AC241" s="15">
        <f t="shared" si="145"/>
        <v>151621.23000000001</v>
      </c>
      <c r="AD241" s="15">
        <f t="shared" si="146"/>
        <v>11599024.1</v>
      </c>
      <c r="AE241" s="25"/>
      <c r="AF241" s="157">
        <f t="shared" ref="AF241:AF295" si="153">AD241-AB241</f>
        <v>0.1</v>
      </c>
    </row>
    <row r="242" spans="1:32" s="4" customFormat="1" ht="25.5" x14ac:dyDescent="0.25">
      <c r="A242" s="64" t="s">
        <v>972</v>
      </c>
      <c r="B242" s="69" t="s">
        <v>871</v>
      </c>
      <c r="C242" s="12" t="s">
        <v>70</v>
      </c>
      <c r="D242" s="13">
        <v>67.400000000000006</v>
      </c>
      <c r="E242" s="18"/>
      <c r="F242" s="215">
        <v>524931</v>
      </c>
      <c r="G242" s="215">
        <f t="shared" si="147"/>
        <v>17680</v>
      </c>
      <c r="H242" s="19">
        <f t="shared" si="148"/>
        <v>542611</v>
      </c>
      <c r="I242" s="15"/>
      <c r="J242" s="22"/>
      <c r="K242" s="15"/>
      <c r="L242" s="15"/>
      <c r="M242" s="22"/>
      <c r="N242" s="22"/>
      <c r="O242" s="22">
        <f t="shared" si="149"/>
        <v>7352379</v>
      </c>
      <c r="P242" s="19">
        <f t="shared" si="150"/>
        <v>742590</v>
      </c>
      <c r="Q242" s="19">
        <f t="shared" si="151"/>
        <v>8094969</v>
      </c>
      <c r="R242" s="6">
        <f t="shared" si="152"/>
        <v>84997</v>
      </c>
      <c r="S242" s="6"/>
      <c r="T242" s="6"/>
      <c r="U242" s="122">
        <f t="shared" si="139"/>
        <v>622236</v>
      </c>
      <c r="V242" s="122">
        <f t="shared" si="140"/>
        <v>9531</v>
      </c>
      <c r="W242" s="122">
        <f t="shared" si="141"/>
        <v>730708</v>
      </c>
      <c r="X242" s="6"/>
      <c r="Y242" s="168">
        <f t="shared" si="142"/>
        <v>151851</v>
      </c>
      <c r="Z242" s="6"/>
      <c r="AA242" s="19">
        <f t="shared" si="143"/>
        <v>9694292</v>
      </c>
      <c r="AB242" s="19">
        <f t="shared" si="144"/>
        <v>10446763</v>
      </c>
      <c r="AC242" s="15">
        <f t="shared" si="145"/>
        <v>154996.48000000001</v>
      </c>
      <c r="AD242" s="15">
        <f t="shared" si="146"/>
        <v>10446762.75</v>
      </c>
      <c r="AE242" s="25"/>
      <c r="AF242" s="157">
        <f t="shared" si="153"/>
        <v>-0.25</v>
      </c>
    </row>
    <row r="243" spans="1:32" s="4" customFormat="1" x14ac:dyDescent="0.25">
      <c r="A243" s="64" t="s">
        <v>973</v>
      </c>
      <c r="B243" s="69" t="s">
        <v>872</v>
      </c>
      <c r="C243" s="12" t="s">
        <v>72</v>
      </c>
      <c r="D243" s="13">
        <v>1048</v>
      </c>
      <c r="E243" s="18"/>
      <c r="F243" s="215">
        <v>90867</v>
      </c>
      <c r="G243" s="215">
        <f t="shared" si="147"/>
        <v>3060</v>
      </c>
      <c r="H243" s="19">
        <f t="shared" si="148"/>
        <v>93927</v>
      </c>
      <c r="I243" s="15"/>
      <c r="J243" s="22"/>
      <c r="K243" s="15"/>
      <c r="L243" s="15"/>
      <c r="M243" s="22"/>
      <c r="N243" s="22"/>
      <c r="O243" s="22">
        <f t="shared" si="149"/>
        <v>1272711</v>
      </c>
      <c r="P243" s="19">
        <f t="shared" si="150"/>
        <v>128544</v>
      </c>
      <c r="Q243" s="19">
        <f t="shared" si="151"/>
        <v>1401255</v>
      </c>
      <c r="R243" s="6">
        <f t="shared" si="152"/>
        <v>14713</v>
      </c>
      <c r="S243" s="6"/>
      <c r="T243" s="6"/>
      <c r="U243" s="122">
        <f t="shared" si="139"/>
        <v>107710</v>
      </c>
      <c r="V243" s="122">
        <f t="shared" si="140"/>
        <v>1650</v>
      </c>
      <c r="W243" s="122">
        <f t="shared" si="141"/>
        <v>126487</v>
      </c>
      <c r="X243" s="6"/>
      <c r="Y243" s="168">
        <f t="shared" si="142"/>
        <v>26286</v>
      </c>
      <c r="Z243" s="6"/>
      <c r="AA243" s="19">
        <f t="shared" si="143"/>
        <v>1678101</v>
      </c>
      <c r="AB243" s="19">
        <f t="shared" si="144"/>
        <v>1808355</v>
      </c>
      <c r="AC243" s="15">
        <f t="shared" si="145"/>
        <v>1725.53</v>
      </c>
      <c r="AD243" s="15">
        <f t="shared" si="146"/>
        <v>1808355.44</v>
      </c>
      <c r="AE243" s="25"/>
      <c r="AF243" s="157">
        <f t="shared" si="153"/>
        <v>0.44</v>
      </c>
    </row>
    <row r="244" spans="1:32" s="4" customFormat="1" ht="25.5" x14ac:dyDescent="0.25">
      <c r="A244" s="64" t="s">
        <v>974</v>
      </c>
      <c r="B244" s="69" t="s">
        <v>873</v>
      </c>
      <c r="C244" s="12" t="s">
        <v>72</v>
      </c>
      <c r="D244" s="13">
        <v>368</v>
      </c>
      <c r="E244" s="18"/>
      <c r="F244" s="215">
        <v>24496</v>
      </c>
      <c r="G244" s="215">
        <f t="shared" si="147"/>
        <v>825</v>
      </c>
      <c r="H244" s="19">
        <f t="shared" si="148"/>
        <v>25321</v>
      </c>
      <c r="I244" s="15"/>
      <c r="J244" s="22"/>
      <c r="K244" s="15"/>
      <c r="L244" s="15"/>
      <c r="M244" s="22"/>
      <c r="N244" s="22"/>
      <c r="O244" s="22">
        <f t="shared" si="149"/>
        <v>343100</v>
      </c>
      <c r="P244" s="19">
        <f t="shared" si="150"/>
        <v>34653</v>
      </c>
      <c r="Q244" s="19">
        <f t="shared" si="151"/>
        <v>377753</v>
      </c>
      <c r="R244" s="6">
        <f t="shared" si="152"/>
        <v>3966</v>
      </c>
      <c r="S244" s="6"/>
      <c r="T244" s="6"/>
      <c r="U244" s="122">
        <f t="shared" si="139"/>
        <v>29037</v>
      </c>
      <c r="V244" s="122">
        <f t="shared" si="140"/>
        <v>445</v>
      </c>
      <c r="W244" s="122">
        <f t="shared" si="141"/>
        <v>34099</v>
      </c>
      <c r="X244" s="6"/>
      <c r="Y244" s="168">
        <f t="shared" si="142"/>
        <v>7086</v>
      </c>
      <c r="Z244" s="6"/>
      <c r="AA244" s="19">
        <f t="shared" si="143"/>
        <v>452386</v>
      </c>
      <c r="AB244" s="19">
        <f t="shared" si="144"/>
        <v>487500</v>
      </c>
      <c r="AC244" s="15">
        <f t="shared" si="145"/>
        <v>1324.73</v>
      </c>
      <c r="AD244" s="15">
        <f t="shared" si="146"/>
        <v>487500.64</v>
      </c>
      <c r="AE244" s="25"/>
      <c r="AF244" s="157">
        <f t="shared" si="153"/>
        <v>0.64</v>
      </c>
    </row>
    <row r="245" spans="1:32" s="4" customFormat="1" x14ac:dyDescent="0.25">
      <c r="A245" s="23" t="s">
        <v>975</v>
      </c>
      <c r="B245" s="26" t="s">
        <v>874</v>
      </c>
      <c r="C245" s="21"/>
      <c r="D245" s="212"/>
      <c r="E245" s="213"/>
      <c r="F245" s="216"/>
      <c r="G245" s="215"/>
      <c r="H245" s="19"/>
      <c r="I245" s="32"/>
      <c r="J245" s="22"/>
      <c r="K245" s="15"/>
      <c r="L245" s="15"/>
      <c r="M245" s="31"/>
      <c r="N245" s="31"/>
      <c r="O245" s="22"/>
      <c r="P245" s="19"/>
      <c r="Q245" s="19"/>
      <c r="R245" s="6"/>
      <c r="S245" s="6"/>
      <c r="T245" s="6"/>
      <c r="U245" s="122"/>
      <c r="V245" s="122"/>
      <c r="W245" s="122"/>
      <c r="X245" s="6"/>
      <c r="Y245" s="168"/>
      <c r="Z245" s="6"/>
      <c r="AA245" s="19"/>
      <c r="AB245" s="19"/>
      <c r="AC245" s="15"/>
      <c r="AD245" s="15"/>
      <c r="AE245" s="25"/>
      <c r="AF245" s="157">
        <f t="shared" si="153"/>
        <v>0</v>
      </c>
    </row>
    <row r="246" spans="1:32" s="4" customFormat="1" x14ac:dyDescent="0.25">
      <c r="A246" s="170" t="s">
        <v>976</v>
      </c>
      <c r="B246" s="162" t="s">
        <v>1296</v>
      </c>
      <c r="C246" s="12" t="s">
        <v>70</v>
      </c>
      <c r="D246" s="13">
        <f>113.4</f>
        <v>113.4</v>
      </c>
      <c r="E246" s="18">
        <f>H246/D246</f>
        <v>26343.43</v>
      </c>
      <c r="F246" s="221">
        <v>2890009</v>
      </c>
      <c r="G246" s="215">
        <f>F246*$G$236</f>
        <v>97336</v>
      </c>
      <c r="H246" s="19">
        <f t="shared" ref="H246" si="154">F246+G246</f>
        <v>2987345</v>
      </c>
      <c r="I246" s="15"/>
      <c r="J246" s="22"/>
      <c r="K246" s="15"/>
      <c r="L246" s="15"/>
      <c r="M246" s="22"/>
      <c r="N246" s="22"/>
      <c r="O246" s="159">
        <f>(H246-2673873.35)*13.55+2673873.35*13.55*0.4</f>
        <v>18739934</v>
      </c>
      <c r="P246" s="19">
        <f t="shared" si="150"/>
        <v>1892733</v>
      </c>
      <c r="Q246" s="19">
        <f t="shared" ref="Q246" si="155">SUM(O246:P246)</f>
        <v>20632667</v>
      </c>
      <c r="R246" s="6">
        <f t="shared" si="152"/>
        <v>216643</v>
      </c>
      <c r="S246" s="161">
        <f>Q246*$S$6</f>
        <v>13042</v>
      </c>
      <c r="T246" s="121">
        <f>Q246*$T$7</f>
        <v>19704</v>
      </c>
      <c r="U246" s="122">
        <f t="shared" ref="U246" si="156">Q246*$U$6</f>
        <v>1585973</v>
      </c>
      <c r="V246" s="122">
        <f t="shared" ref="V246" si="157">Q246*$V$6</f>
        <v>24294</v>
      </c>
      <c r="W246" s="122">
        <f t="shared" ref="W246" si="158">Q246*$W$6</f>
        <v>1862447</v>
      </c>
      <c r="X246" s="6"/>
      <c r="Y246" s="168">
        <f t="shared" ref="Y246" si="159">Q246*$Y$7</f>
        <v>387042</v>
      </c>
      <c r="Z246" s="6"/>
      <c r="AA246" s="19">
        <f t="shared" ref="AA246" si="160">SUM(Q246:Z246)</f>
        <v>24741812</v>
      </c>
      <c r="AB246" s="19">
        <f t="shared" ref="AB246:AB252" si="161">$AA246*AB$7</f>
        <v>26662271</v>
      </c>
      <c r="AC246" s="15">
        <f t="shared" ref="AC246:AC252" si="162">AB246/D246</f>
        <v>235117.03</v>
      </c>
      <c r="AD246" s="15">
        <f t="shared" ref="AD246:AD252" si="163">AC246*D246</f>
        <v>26662271.199999999</v>
      </c>
      <c r="AE246" s="25"/>
      <c r="AF246" s="157">
        <f t="shared" ref="AF246" si="164">AD246-AB246</f>
        <v>0.2</v>
      </c>
    </row>
    <row r="247" spans="1:32" s="4" customFormat="1" x14ac:dyDescent="0.25">
      <c r="A247" s="171" t="s">
        <v>977</v>
      </c>
      <c r="B247" s="69" t="s">
        <v>123</v>
      </c>
      <c r="C247" s="12" t="s">
        <v>70</v>
      </c>
      <c r="D247" s="13">
        <f>82.2</f>
        <v>82.2</v>
      </c>
      <c r="E247" s="18">
        <f>H247/D247</f>
        <v>8105.01</v>
      </c>
      <c r="F247" s="221">
        <v>644524</v>
      </c>
      <c r="G247" s="215">
        <f>F247*$G$236</f>
        <v>21708</v>
      </c>
      <c r="H247" s="19">
        <f t="shared" si="148"/>
        <v>666232</v>
      </c>
      <c r="I247" s="15"/>
      <c r="J247" s="22"/>
      <c r="K247" s="15"/>
      <c r="L247" s="15"/>
      <c r="M247" s="22"/>
      <c r="N247" s="22"/>
      <c r="O247" s="22">
        <f t="shared" si="149"/>
        <v>9027444</v>
      </c>
      <c r="P247" s="19">
        <f t="shared" si="150"/>
        <v>911772</v>
      </c>
      <c r="Q247" s="19">
        <f t="shared" si="151"/>
        <v>9939216</v>
      </c>
      <c r="R247" s="6">
        <f t="shared" si="152"/>
        <v>104362</v>
      </c>
      <c r="S247" s="6"/>
      <c r="T247" s="6"/>
      <c r="U247" s="122">
        <f t="shared" ref="U247:U252" si="165">Q247*$U$6</f>
        <v>763998</v>
      </c>
      <c r="V247" s="122">
        <f t="shared" ref="V247:V252" si="166">Q247*$V$6</f>
        <v>11703</v>
      </c>
      <c r="W247" s="122">
        <f t="shared" ref="W247:W252" si="167">Q247*$W$6</f>
        <v>897182</v>
      </c>
      <c r="X247" s="6"/>
      <c r="Y247" s="168">
        <f t="shared" ref="Y247:Y252" si="168">Q247*$Y$7</f>
        <v>186447</v>
      </c>
      <c r="Z247" s="6"/>
      <c r="AA247" s="19">
        <f t="shared" ref="AA247:AA252" si="169">SUM(Q247:Z247)</f>
        <v>11902908</v>
      </c>
      <c r="AB247" s="19">
        <f t="shared" si="161"/>
        <v>12826812</v>
      </c>
      <c r="AC247" s="15">
        <f t="shared" si="162"/>
        <v>156043.94</v>
      </c>
      <c r="AD247" s="15">
        <f t="shared" si="163"/>
        <v>12826811.869999999</v>
      </c>
      <c r="AE247" s="25"/>
      <c r="AF247" s="157">
        <f t="shared" si="153"/>
        <v>-0.13</v>
      </c>
    </row>
    <row r="248" spans="1:32" s="4" customFormat="1" x14ac:dyDescent="0.25">
      <c r="A248" s="64" t="s">
        <v>978</v>
      </c>
      <c r="B248" s="69" t="s">
        <v>867</v>
      </c>
      <c r="C248" s="12" t="s">
        <v>70</v>
      </c>
      <c r="D248" s="13">
        <v>16.2</v>
      </c>
      <c r="E248" s="18"/>
      <c r="F248" s="215">
        <v>12782</v>
      </c>
      <c r="G248" s="215">
        <f t="shared" si="147"/>
        <v>431</v>
      </c>
      <c r="H248" s="19">
        <f t="shared" si="148"/>
        <v>13213</v>
      </c>
      <c r="I248" s="15"/>
      <c r="J248" s="22"/>
      <c r="K248" s="15"/>
      <c r="L248" s="15"/>
      <c r="M248" s="22"/>
      <c r="N248" s="22"/>
      <c r="O248" s="22">
        <f t="shared" si="149"/>
        <v>179036</v>
      </c>
      <c r="P248" s="19">
        <f t="shared" si="150"/>
        <v>18083</v>
      </c>
      <c r="Q248" s="19">
        <f t="shared" si="151"/>
        <v>197119</v>
      </c>
      <c r="R248" s="6">
        <f t="shared" si="152"/>
        <v>2070</v>
      </c>
      <c r="S248" s="6"/>
      <c r="T248" s="6"/>
      <c r="U248" s="122">
        <f t="shared" si="165"/>
        <v>15152</v>
      </c>
      <c r="V248" s="122">
        <f t="shared" si="166"/>
        <v>232</v>
      </c>
      <c r="W248" s="122">
        <f t="shared" si="167"/>
        <v>17793</v>
      </c>
      <c r="X248" s="6"/>
      <c r="Y248" s="168">
        <f t="shared" si="168"/>
        <v>3698</v>
      </c>
      <c r="Z248" s="6"/>
      <c r="AA248" s="19">
        <f t="shared" si="169"/>
        <v>236064</v>
      </c>
      <c r="AB248" s="19">
        <f t="shared" si="161"/>
        <v>254387</v>
      </c>
      <c r="AC248" s="15">
        <f t="shared" si="162"/>
        <v>15702.9</v>
      </c>
      <c r="AD248" s="15">
        <f t="shared" si="163"/>
        <v>254386.98</v>
      </c>
      <c r="AE248" s="25"/>
      <c r="AF248" s="157">
        <f t="shared" si="153"/>
        <v>-0.02</v>
      </c>
    </row>
    <row r="249" spans="1:32" s="4" customFormat="1" x14ac:dyDescent="0.25">
      <c r="A249" s="64" t="s">
        <v>979</v>
      </c>
      <c r="B249" s="69" t="s">
        <v>868</v>
      </c>
      <c r="C249" s="12" t="s">
        <v>70</v>
      </c>
      <c r="D249" s="13">
        <v>188.2</v>
      </c>
      <c r="E249" s="18"/>
      <c r="F249" s="215">
        <v>599449</v>
      </c>
      <c r="G249" s="215">
        <f t="shared" si="147"/>
        <v>20190</v>
      </c>
      <c r="H249" s="19">
        <f t="shared" si="148"/>
        <v>619639</v>
      </c>
      <c r="I249" s="15"/>
      <c r="J249" s="22"/>
      <c r="K249" s="15"/>
      <c r="L249" s="15"/>
      <c r="M249" s="22"/>
      <c r="N249" s="22"/>
      <c r="O249" s="22">
        <f t="shared" si="149"/>
        <v>8396108</v>
      </c>
      <c r="P249" s="19">
        <f t="shared" si="150"/>
        <v>848007</v>
      </c>
      <c r="Q249" s="19">
        <f t="shared" si="151"/>
        <v>9244115</v>
      </c>
      <c r="R249" s="6">
        <f t="shared" si="152"/>
        <v>97063</v>
      </c>
      <c r="S249" s="6"/>
      <c r="T249" s="6"/>
      <c r="U249" s="122">
        <f t="shared" si="165"/>
        <v>710568</v>
      </c>
      <c r="V249" s="122">
        <f t="shared" si="166"/>
        <v>10884</v>
      </c>
      <c r="W249" s="122">
        <f t="shared" si="167"/>
        <v>834438</v>
      </c>
      <c r="X249" s="6"/>
      <c r="Y249" s="168">
        <f t="shared" si="168"/>
        <v>173408</v>
      </c>
      <c r="Z249" s="6"/>
      <c r="AA249" s="19">
        <f t="shared" si="169"/>
        <v>11070476</v>
      </c>
      <c r="AB249" s="19">
        <f t="shared" si="161"/>
        <v>11929766</v>
      </c>
      <c r="AC249" s="15">
        <f t="shared" si="162"/>
        <v>63388.77</v>
      </c>
      <c r="AD249" s="15">
        <f t="shared" si="163"/>
        <v>11929766.51</v>
      </c>
      <c r="AE249" s="25"/>
      <c r="AF249" s="157">
        <f t="shared" si="153"/>
        <v>0.51</v>
      </c>
    </row>
    <row r="250" spans="1:32" s="4" customFormat="1" x14ac:dyDescent="0.25">
      <c r="A250" s="64" t="s">
        <v>980</v>
      </c>
      <c r="B250" s="69" t="s">
        <v>869</v>
      </c>
      <c r="C250" s="12" t="s">
        <v>70</v>
      </c>
      <c r="D250" s="13">
        <v>49.2</v>
      </c>
      <c r="E250" s="18"/>
      <c r="F250" s="215">
        <v>559908</v>
      </c>
      <c r="G250" s="215">
        <f t="shared" si="147"/>
        <v>18858</v>
      </c>
      <c r="H250" s="19">
        <f t="shared" si="148"/>
        <v>578766</v>
      </c>
      <c r="I250" s="15"/>
      <c r="J250" s="22"/>
      <c r="K250" s="15"/>
      <c r="L250" s="15"/>
      <c r="M250" s="22"/>
      <c r="N250" s="22"/>
      <c r="O250" s="22">
        <f t="shared" si="149"/>
        <v>7842279</v>
      </c>
      <c r="P250" s="19">
        <f t="shared" si="150"/>
        <v>792070</v>
      </c>
      <c r="Q250" s="19">
        <f t="shared" si="151"/>
        <v>8634349</v>
      </c>
      <c r="R250" s="6">
        <f t="shared" si="152"/>
        <v>90661</v>
      </c>
      <c r="S250" s="6"/>
      <c r="T250" s="6"/>
      <c r="U250" s="122">
        <f t="shared" si="165"/>
        <v>663697</v>
      </c>
      <c r="V250" s="122">
        <f t="shared" si="166"/>
        <v>10166</v>
      </c>
      <c r="W250" s="122">
        <f t="shared" si="167"/>
        <v>779396</v>
      </c>
      <c r="X250" s="6"/>
      <c r="Y250" s="168">
        <f t="shared" si="168"/>
        <v>161969</v>
      </c>
      <c r="Z250" s="6"/>
      <c r="AA250" s="19">
        <f t="shared" si="169"/>
        <v>10340238</v>
      </c>
      <c r="AB250" s="19">
        <f t="shared" si="161"/>
        <v>11142847</v>
      </c>
      <c r="AC250" s="15">
        <f t="shared" si="162"/>
        <v>226480.63</v>
      </c>
      <c r="AD250" s="15">
        <f t="shared" si="163"/>
        <v>11142847</v>
      </c>
      <c r="AE250" s="25"/>
      <c r="AF250" s="157">
        <f t="shared" si="153"/>
        <v>0</v>
      </c>
    </row>
    <row r="251" spans="1:32" s="4" customFormat="1" ht="25.5" x14ac:dyDescent="0.25">
      <c r="A251" s="64" t="s">
        <v>981</v>
      </c>
      <c r="B251" s="69" t="s">
        <v>875</v>
      </c>
      <c r="C251" s="12" t="s">
        <v>70</v>
      </c>
      <c r="D251" s="89">
        <v>67.8</v>
      </c>
      <c r="E251" s="18"/>
      <c r="F251" s="215">
        <v>845647</v>
      </c>
      <c r="G251" s="215">
        <f t="shared" si="147"/>
        <v>28482</v>
      </c>
      <c r="H251" s="19">
        <f t="shared" si="148"/>
        <v>874129</v>
      </c>
      <c r="I251" s="15"/>
      <c r="J251" s="22"/>
      <c r="K251" s="15"/>
      <c r="L251" s="15"/>
      <c r="M251" s="22"/>
      <c r="N251" s="22"/>
      <c r="O251" s="22">
        <f t="shared" si="149"/>
        <v>11844448</v>
      </c>
      <c r="P251" s="19">
        <f t="shared" si="150"/>
        <v>1196289</v>
      </c>
      <c r="Q251" s="19">
        <f t="shared" si="151"/>
        <v>13040737</v>
      </c>
      <c r="R251" s="6">
        <f t="shared" si="152"/>
        <v>136928</v>
      </c>
      <c r="S251" s="6"/>
      <c r="T251" s="6"/>
      <c r="U251" s="122">
        <f t="shared" si="165"/>
        <v>1002403</v>
      </c>
      <c r="V251" s="122">
        <f t="shared" si="166"/>
        <v>15355</v>
      </c>
      <c r="W251" s="122">
        <f t="shared" si="167"/>
        <v>1177147</v>
      </c>
      <c r="X251" s="6"/>
      <c r="Y251" s="168">
        <f t="shared" si="168"/>
        <v>244627</v>
      </c>
      <c r="Z251" s="6"/>
      <c r="AA251" s="19">
        <f t="shared" si="169"/>
        <v>15617197</v>
      </c>
      <c r="AB251" s="19">
        <f t="shared" si="161"/>
        <v>16829404</v>
      </c>
      <c r="AC251" s="15">
        <f t="shared" si="162"/>
        <v>248221.3</v>
      </c>
      <c r="AD251" s="15">
        <f t="shared" si="163"/>
        <v>16829404.140000001</v>
      </c>
      <c r="AE251" s="25"/>
      <c r="AF251" s="157">
        <f t="shared" si="153"/>
        <v>0.14000000000000001</v>
      </c>
    </row>
    <row r="252" spans="1:32" s="4" customFormat="1" ht="25.5" x14ac:dyDescent="0.25">
      <c r="A252" s="64" t="s">
        <v>1295</v>
      </c>
      <c r="B252" s="69" t="s">
        <v>876</v>
      </c>
      <c r="C252" s="12" t="s">
        <v>72</v>
      </c>
      <c r="D252" s="13">
        <v>617</v>
      </c>
      <c r="E252" s="18"/>
      <c r="F252" s="215">
        <v>33930</v>
      </c>
      <c r="G252" s="215">
        <f t="shared" si="147"/>
        <v>1143</v>
      </c>
      <c r="H252" s="19">
        <f t="shared" si="148"/>
        <v>35073</v>
      </c>
      <c r="I252" s="15"/>
      <c r="J252" s="22"/>
      <c r="K252" s="15"/>
      <c r="L252" s="15"/>
      <c r="M252" s="22"/>
      <c r="N252" s="22"/>
      <c r="O252" s="22">
        <f t="shared" si="149"/>
        <v>475239</v>
      </c>
      <c r="P252" s="19">
        <f t="shared" si="150"/>
        <v>47999</v>
      </c>
      <c r="Q252" s="19">
        <f t="shared" si="151"/>
        <v>523238</v>
      </c>
      <c r="R252" s="6">
        <f t="shared" si="152"/>
        <v>5494</v>
      </c>
      <c r="S252" s="6"/>
      <c r="T252" s="6"/>
      <c r="U252" s="122">
        <f t="shared" si="165"/>
        <v>40220</v>
      </c>
      <c r="V252" s="122">
        <f t="shared" si="166"/>
        <v>616</v>
      </c>
      <c r="W252" s="122">
        <f t="shared" si="167"/>
        <v>47231</v>
      </c>
      <c r="X252" s="6"/>
      <c r="Y252" s="168">
        <f t="shared" si="168"/>
        <v>9815</v>
      </c>
      <c r="Z252" s="6"/>
      <c r="AA252" s="19">
        <f t="shared" si="169"/>
        <v>626614</v>
      </c>
      <c r="AB252" s="19">
        <f t="shared" si="161"/>
        <v>675252</v>
      </c>
      <c r="AC252" s="15">
        <f t="shared" si="162"/>
        <v>1094.4100000000001</v>
      </c>
      <c r="AD252" s="15">
        <f t="shared" si="163"/>
        <v>675250.97</v>
      </c>
      <c r="AE252" s="25"/>
      <c r="AF252" s="157">
        <f t="shared" si="153"/>
        <v>-1.03</v>
      </c>
    </row>
    <row r="253" spans="1:32" s="4" customFormat="1" ht="25.5" x14ac:dyDescent="0.25">
      <c r="A253" s="23" t="s">
        <v>982</v>
      </c>
      <c r="B253" s="26" t="s">
        <v>877</v>
      </c>
      <c r="C253" s="21"/>
      <c r="D253" s="212"/>
      <c r="E253" s="213"/>
      <c r="F253" s="216"/>
      <c r="G253" s="215"/>
      <c r="H253" s="19"/>
      <c r="I253" s="32"/>
      <c r="J253" s="22"/>
      <c r="K253" s="15"/>
      <c r="L253" s="15"/>
      <c r="M253" s="31"/>
      <c r="N253" s="31"/>
      <c r="O253" s="22"/>
      <c r="P253" s="19"/>
      <c r="Q253" s="19"/>
      <c r="R253" s="6"/>
      <c r="S253" s="6"/>
      <c r="T253" s="6"/>
      <c r="U253" s="122"/>
      <c r="V253" s="122"/>
      <c r="W253" s="122"/>
      <c r="X253" s="6"/>
      <c r="Y253" s="168"/>
      <c r="Z253" s="6"/>
      <c r="AA253" s="19"/>
      <c r="AB253" s="19"/>
      <c r="AC253" s="15"/>
      <c r="AD253" s="15"/>
      <c r="AE253" s="25"/>
      <c r="AF253" s="157">
        <f t="shared" si="153"/>
        <v>0</v>
      </c>
    </row>
    <row r="254" spans="1:32" s="4" customFormat="1" x14ac:dyDescent="0.25">
      <c r="A254" s="64" t="s">
        <v>983</v>
      </c>
      <c r="B254" s="69" t="s">
        <v>878</v>
      </c>
      <c r="C254" s="12" t="s">
        <v>311</v>
      </c>
      <c r="D254" s="13">
        <v>4.13</v>
      </c>
      <c r="E254" s="18"/>
      <c r="F254" s="215">
        <v>116563</v>
      </c>
      <c r="G254" s="215">
        <f t="shared" si="147"/>
        <v>3926</v>
      </c>
      <c r="H254" s="19">
        <f t="shared" si="148"/>
        <v>120489</v>
      </c>
      <c r="I254" s="15"/>
      <c r="J254" s="22"/>
      <c r="K254" s="15"/>
      <c r="L254" s="15"/>
      <c r="M254" s="22"/>
      <c r="N254" s="22"/>
      <c r="O254" s="22">
        <f t="shared" si="149"/>
        <v>1632626</v>
      </c>
      <c r="P254" s="19">
        <f t="shared" si="150"/>
        <v>164895</v>
      </c>
      <c r="Q254" s="19">
        <f t="shared" si="151"/>
        <v>1797521</v>
      </c>
      <c r="R254" s="6">
        <f t="shared" si="152"/>
        <v>18874</v>
      </c>
      <c r="S254" s="6"/>
      <c r="T254" s="6"/>
      <c r="U254" s="122">
        <f t="shared" ref="U254:U260" si="170">Q254*$U$6</f>
        <v>138170</v>
      </c>
      <c r="V254" s="122">
        <f t="shared" ref="V254:V260" si="171">Q254*$V$6</f>
        <v>2116</v>
      </c>
      <c r="W254" s="122">
        <f t="shared" ref="W254:W260" si="172">Q254*$W$6</f>
        <v>162257</v>
      </c>
      <c r="X254" s="6"/>
      <c r="Y254" s="168">
        <f t="shared" ref="Y254:Y260" si="173">Q254*$Y$7</f>
        <v>33719</v>
      </c>
      <c r="Z254" s="6"/>
      <c r="AA254" s="19">
        <f t="shared" ref="AA254:AA260" si="174">SUM(Q254:Z254)</f>
        <v>2152657</v>
      </c>
      <c r="AB254" s="19">
        <f t="shared" ref="AB254:AB260" si="175">$AA254*AB$7</f>
        <v>2319746</v>
      </c>
      <c r="AC254" s="15">
        <f t="shared" ref="AC254:AC260" si="176">AB254/D254</f>
        <v>561681.84</v>
      </c>
      <c r="AD254" s="15">
        <f t="shared" ref="AD254:AD260" si="177">AC254*D254</f>
        <v>2319746</v>
      </c>
      <c r="AE254" s="25"/>
      <c r="AF254" s="157">
        <f t="shared" si="153"/>
        <v>0</v>
      </c>
    </row>
    <row r="255" spans="1:32" s="4" customFormat="1" x14ac:dyDescent="0.25">
      <c r="A255" s="64" t="s">
        <v>984</v>
      </c>
      <c r="B255" s="172" t="s">
        <v>879</v>
      </c>
      <c r="C255" s="12" t="s">
        <v>67</v>
      </c>
      <c r="D255" s="89">
        <v>72</v>
      </c>
      <c r="E255" s="18"/>
      <c r="F255" s="215">
        <v>458305</v>
      </c>
      <c r="G255" s="215">
        <f t="shared" si="147"/>
        <v>15436</v>
      </c>
      <c r="H255" s="19">
        <f t="shared" si="148"/>
        <v>473741</v>
      </c>
      <c r="I255" s="15"/>
      <c r="J255" s="22"/>
      <c r="K255" s="15"/>
      <c r="L255" s="15"/>
      <c r="M255" s="22"/>
      <c r="N255" s="22"/>
      <c r="O255" s="22">
        <f t="shared" si="149"/>
        <v>6419191</v>
      </c>
      <c r="P255" s="19">
        <f t="shared" si="150"/>
        <v>648338</v>
      </c>
      <c r="Q255" s="19">
        <f t="shared" si="151"/>
        <v>7067529</v>
      </c>
      <c r="R255" s="6">
        <f t="shared" si="152"/>
        <v>74209</v>
      </c>
      <c r="S255" s="6"/>
      <c r="T255" s="6"/>
      <c r="U255" s="122">
        <f t="shared" si="170"/>
        <v>543260</v>
      </c>
      <c r="V255" s="122">
        <f t="shared" si="171"/>
        <v>8322</v>
      </c>
      <c r="W255" s="122">
        <f t="shared" si="172"/>
        <v>637964</v>
      </c>
      <c r="X255" s="6"/>
      <c r="Y255" s="168">
        <f t="shared" si="173"/>
        <v>132578</v>
      </c>
      <c r="Z255" s="6"/>
      <c r="AA255" s="19">
        <f t="shared" si="174"/>
        <v>8463862</v>
      </c>
      <c r="AB255" s="19">
        <f t="shared" si="175"/>
        <v>9120827</v>
      </c>
      <c r="AC255" s="15">
        <f t="shared" si="176"/>
        <v>126678.15</v>
      </c>
      <c r="AD255" s="15">
        <f t="shared" si="177"/>
        <v>9120826.8000000007</v>
      </c>
      <c r="AE255" s="25"/>
      <c r="AF255" s="157">
        <f t="shared" si="153"/>
        <v>-0.2</v>
      </c>
    </row>
    <row r="256" spans="1:32" s="4" customFormat="1" x14ac:dyDescent="0.25">
      <c r="A256" s="64" t="s">
        <v>985</v>
      </c>
      <c r="B256" s="69" t="s">
        <v>880</v>
      </c>
      <c r="C256" s="12" t="s">
        <v>67</v>
      </c>
      <c r="D256" s="89">
        <f>24+12</f>
        <v>36</v>
      </c>
      <c r="E256" s="18"/>
      <c r="F256" s="215">
        <v>3518273</v>
      </c>
      <c r="G256" s="215">
        <f t="shared" si="147"/>
        <v>118496</v>
      </c>
      <c r="H256" s="19">
        <f t="shared" si="148"/>
        <v>3636769</v>
      </c>
      <c r="I256" s="15"/>
      <c r="J256" s="22"/>
      <c r="K256" s="15"/>
      <c r="L256" s="15"/>
      <c r="M256" s="22"/>
      <c r="N256" s="22"/>
      <c r="O256" s="22">
        <f t="shared" si="149"/>
        <v>49278220</v>
      </c>
      <c r="P256" s="19">
        <f t="shared" si="150"/>
        <v>4977100</v>
      </c>
      <c r="Q256" s="19">
        <f t="shared" si="151"/>
        <v>54255320</v>
      </c>
      <c r="R256" s="6">
        <f t="shared" si="152"/>
        <v>569681</v>
      </c>
      <c r="S256" s="6"/>
      <c r="T256" s="6"/>
      <c r="U256" s="122">
        <f t="shared" si="170"/>
        <v>4170447</v>
      </c>
      <c r="V256" s="122">
        <f t="shared" si="171"/>
        <v>63882</v>
      </c>
      <c r="W256" s="122">
        <f t="shared" si="172"/>
        <v>4897460</v>
      </c>
      <c r="X256" s="6"/>
      <c r="Y256" s="168">
        <f t="shared" si="173"/>
        <v>1017760</v>
      </c>
      <c r="Z256" s="6"/>
      <c r="AA256" s="19">
        <f t="shared" si="174"/>
        <v>64974550</v>
      </c>
      <c r="AB256" s="19">
        <f t="shared" si="175"/>
        <v>70017875</v>
      </c>
      <c r="AC256" s="15">
        <f t="shared" si="176"/>
        <v>1944940.97</v>
      </c>
      <c r="AD256" s="15">
        <f t="shared" si="177"/>
        <v>70017874.920000002</v>
      </c>
      <c r="AE256" s="25"/>
      <c r="AF256" s="157">
        <f t="shared" si="153"/>
        <v>-0.08</v>
      </c>
    </row>
    <row r="257" spans="1:32" s="4" customFormat="1" x14ac:dyDescent="0.25">
      <c r="A257" s="64" t="s">
        <v>986</v>
      </c>
      <c r="B257" s="69" t="s">
        <v>881</v>
      </c>
      <c r="C257" s="12" t="s">
        <v>70</v>
      </c>
      <c r="D257" s="13">
        <v>335.7</v>
      </c>
      <c r="E257" s="18"/>
      <c r="F257" s="215">
        <v>2006637</v>
      </c>
      <c r="G257" s="215">
        <f t="shared" si="147"/>
        <v>67584</v>
      </c>
      <c r="H257" s="19">
        <f t="shared" si="148"/>
        <v>2074221</v>
      </c>
      <c r="I257" s="15"/>
      <c r="J257" s="22"/>
      <c r="K257" s="15"/>
      <c r="L257" s="15"/>
      <c r="M257" s="22"/>
      <c r="N257" s="22"/>
      <c r="O257" s="22">
        <f t="shared" si="149"/>
        <v>28105695</v>
      </c>
      <c r="P257" s="19">
        <f t="shared" si="150"/>
        <v>2838675</v>
      </c>
      <c r="Q257" s="19">
        <f t="shared" si="151"/>
        <v>30944370</v>
      </c>
      <c r="R257" s="6">
        <f t="shared" si="152"/>
        <v>324916</v>
      </c>
      <c r="S257" s="6"/>
      <c r="T257" s="6"/>
      <c r="U257" s="122">
        <f t="shared" si="170"/>
        <v>2378603</v>
      </c>
      <c r="V257" s="122">
        <f t="shared" si="171"/>
        <v>36435</v>
      </c>
      <c r="W257" s="122">
        <f t="shared" si="172"/>
        <v>2793253</v>
      </c>
      <c r="X257" s="6"/>
      <c r="Y257" s="168">
        <f t="shared" si="173"/>
        <v>580477</v>
      </c>
      <c r="Z257" s="6"/>
      <c r="AA257" s="19">
        <f t="shared" si="174"/>
        <v>37058054</v>
      </c>
      <c r="AB257" s="19">
        <f t="shared" si="175"/>
        <v>39934500</v>
      </c>
      <c r="AC257" s="15">
        <f t="shared" si="176"/>
        <v>118958.89</v>
      </c>
      <c r="AD257" s="15">
        <f t="shared" si="177"/>
        <v>39934499.369999997</v>
      </c>
      <c r="AE257" s="25"/>
      <c r="AF257" s="157">
        <f t="shared" si="153"/>
        <v>-0.63</v>
      </c>
    </row>
    <row r="258" spans="1:32" s="4" customFormat="1" x14ac:dyDescent="0.25">
      <c r="A258" s="64" t="s">
        <v>987</v>
      </c>
      <c r="B258" s="69" t="s">
        <v>882</v>
      </c>
      <c r="C258" s="12" t="s">
        <v>70</v>
      </c>
      <c r="D258" s="13">
        <v>5</v>
      </c>
      <c r="E258" s="18"/>
      <c r="F258" s="215">
        <v>36487</v>
      </c>
      <c r="G258" s="215">
        <f t="shared" si="147"/>
        <v>1229</v>
      </c>
      <c r="H258" s="19">
        <f t="shared" si="148"/>
        <v>37716</v>
      </c>
      <c r="I258" s="15"/>
      <c r="J258" s="22"/>
      <c r="K258" s="15"/>
      <c r="L258" s="15"/>
      <c r="M258" s="22"/>
      <c r="N258" s="22"/>
      <c r="O258" s="22">
        <f t="shared" si="149"/>
        <v>511052</v>
      </c>
      <c r="P258" s="19">
        <f t="shared" si="150"/>
        <v>51616</v>
      </c>
      <c r="Q258" s="19">
        <f t="shared" si="151"/>
        <v>562668</v>
      </c>
      <c r="R258" s="6">
        <f t="shared" si="152"/>
        <v>5908</v>
      </c>
      <c r="S258" s="6"/>
      <c r="T258" s="6"/>
      <c r="U258" s="122">
        <f t="shared" si="170"/>
        <v>43251</v>
      </c>
      <c r="V258" s="122">
        <f t="shared" si="171"/>
        <v>663</v>
      </c>
      <c r="W258" s="122">
        <f t="shared" si="172"/>
        <v>50790</v>
      </c>
      <c r="X258" s="6"/>
      <c r="Y258" s="168">
        <f t="shared" si="173"/>
        <v>10555</v>
      </c>
      <c r="Z258" s="6"/>
      <c r="AA258" s="19">
        <f t="shared" si="174"/>
        <v>673835</v>
      </c>
      <c r="AB258" s="19">
        <f t="shared" si="175"/>
        <v>726138</v>
      </c>
      <c r="AC258" s="15">
        <f t="shared" si="176"/>
        <v>145227.6</v>
      </c>
      <c r="AD258" s="15">
        <f t="shared" si="177"/>
        <v>726138</v>
      </c>
      <c r="AE258" s="25"/>
      <c r="AF258" s="157">
        <f t="shared" si="153"/>
        <v>0</v>
      </c>
    </row>
    <row r="259" spans="1:32" s="4" customFormat="1" x14ac:dyDescent="0.25">
      <c r="A259" s="64" t="s">
        <v>988</v>
      </c>
      <c r="B259" s="69" t="s">
        <v>883</v>
      </c>
      <c r="C259" s="12" t="s">
        <v>72</v>
      </c>
      <c r="D259" s="13">
        <v>85</v>
      </c>
      <c r="E259" s="18"/>
      <c r="F259" s="215">
        <v>2408</v>
      </c>
      <c r="G259" s="215">
        <f t="shared" si="147"/>
        <v>81</v>
      </c>
      <c r="H259" s="19">
        <f t="shared" si="148"/>
        <v>2489</v>
      </c>
      <c r="I259" s="15"/>
      <c r="J259" s="22"/>
      <c r="K259" s="15"/>
      <c r="L259" s="15"/>
      <c r="M259" s="22"/>
      <c r="N259" s="22"/>
      <c r="O259" s="22">
        <f t="shared" si="149"/>
        <v>33726</v>
      </c>
      <c r="P259" s="19">
        <f t="shared" si="150"/>
        <v>3406</v>
      </c>
      <c r="Q259" s="19">
        <f t="shared" si="151"/>
        <v>37132</v>
      </c>
      <c r="R259" s="6">
        <f t="shared" si="152"/>
        <v>390</v>
      </c>
      <c r="S259" s="6"/>
      <c r="T259" s="6"/>
      <c r="U259" s="122">
        <f t="shared" si="170"/>
        <v>2854</v>
      </c>
      <c r="V259" s="122">
        <f t="shared" si="171"/>
        <v>44</v>
      </c>
      <c r="W259" s="122">
        <f t="shared" si="172"/>
        <v>3352</v>
      </c>
      <c r="X259" s="6"/>
      <c r="Y259" s="168">
        <f t="shared" si="173"/>
        <v>697</v>
      </c>
      <c r="Z259" s="6"/>
      <c r="AA259" s="19">
        <f t="shared" si="174"/>
        <v>44469</v>
      </c>
      <c r="AB259" s="19">
        <f t="shared" si="175"/>
        <v>47921</v>
      </c>
      <c r="AC259" s="15">
        <f t="shared" si="176"/>
        <v>563.78</v>
      </c>
      <c r="AD259" s="15">
        <f t="shared" si="177"/>
        <v>47921.3</v>
      </c>
      <c r="AE259" s="25"/>
      <c r="AF259" s="157">
        <f t="shared" si="153"/>
        <v>0.3</v>
      </c>
    </row>
    <row r="260" spans="1:32" s="4" customFormat="1" ht="25.5" x14ac:dyDescent="0.25">
      <c r="A260" s="64" t="s">
        <v>989</v>
      </c>
      <c r="B260" s="69" t="s">
        <v>884</v>
      </c>
      <c r="C260" s="12" t="s">
        <v>72</v>
      </c>
      <c r="D260" s="13">
        <v>3978</v>
      </c>
      <c r="E260" s="18"/>
      <c r="F260" s="215">
        <v>264787</v>
      </c>
      <c r="G260" s="215">
        <f t="shared" si="147"/>
        <v>8918</v>
      </c>
      <c r="H260" s="19">
        <f t="shared" si="148"/>
        <v>273705</v>
      </c>
      <c r="I260" s="15"/>
      <c r="J260" s="22"/>
      <c r="K260" s="15"/>
      <c r="L260" s="15"/>
      <c r="M260" s="22"/>
      <c r="N260" s="22"/>
      <c r="O260" s="22">
        <f t="shared" si="149"/>
        <v>3708703</v>
      </c>
      <c r="P260" s="19">
        <f t="shared" si="150"/>
        <v>374579</v>
      </c>
      <c r="Q260" s="19">
        <f t="shared" si="151"/>
        <v>4083282</v>
      </c>
      <c r="R260" s="6">
        <f t="shared" si="152"/>
        <v>42874</v>
      </c>
      <c r="S260" s="6"/>
      <c r="T260" s="6"/>
      <c r="U260" s="122">
        <f t="shared" si="170"/>
        <v>313870</v>
      </c>
      <c r="V260" s="122">
        <f t="shared" si="171"/>
        <v>4808</v>
      </c>
      <c r="W260" s="122">
        <f t="shared" si="172"/>
        <v>368585</v>
      </c>
      <c r="X260" s="6"/>
      <c r="Y260" s="168">
        <f t="shared" si="173"/>
        <v>76597</v>
      </c>
      <c r="Z260" s="6"/>
      <c r="AA260" s="19">
        <f t="shared" si="174"/>
        <v>4890016</v>
      </c>
      <c r="AB260" s="19">
        <f t="shared" si="175"/>
        <v>5269579</v>
      </c>
      <c r="AC260" s="15">
        <f t="shared" si="176"/>
        <v>1324.68</v>
      </c>
      <c r="AD260" s="15">
        <f t="shared" si="177"/>
        <v>5269577.04</v>
      </c>
      <c r="AE260" s="25"/>
      <c r="AF260" s="157">
        <f t="shared" si="153"/>
        <v>-1.96</v>
      </c>
    </row>
    <row r="261" spans="1:32" s="4" customFormat="1" x14ac:dyDescent="0.25">
      <c r="A261" s="23" t="s">
        <v>990</v>
      </c>
      <c r="B261" s="26" t="s">
        <v>885</v>
      </c>
      <c r="C261" s="21"/>
      <c r="D261" s="212"/>
      <c r="E261" s="213"/>
      <c r="F261" s="216"/>
      <c r="G261" s="215"/>
      <c r="H261" s="19"/>
      <c r="I261" s="32"/>
      <c r="J261" s="22"/>
      <c r="K261" s="15"/>
      <c r="L261" s="15"/>
      <c r="M261" s="31"/>
      <c r="N261" s="31"/>
      <c r="O261" s="22"/>
      <c r="P261" s="19"/>
      <c r="Q261" s="19"/>
      <c r="R261" s="6"/>
      <c r="S261" s="6"/>
      <c r="T261" s="6"/>
      <c r="U261" s="122"/>
      <c r="V261" s="122"/>
      <c r="W261" s="122"/>
      <c r="X261" s="6"/>
      <c r="Y261" s="168"/>
      <c r="Z261" s="6"/>
      <c r="AA261" s="19"/>
      <c r="AB261" s="19"/>
      <c r="AC261" s="15"/>
      <c r="AD261" s="15"/>
      <c r="AE261" s="25"/>
      <c r="AF261" s="157">
        <f t="shared" si="153"/>
        <v>0</v>
      </c>
    </row>
    <row r="262" spans="1:32" s="4" customFormat="1" x14ac:dyDescent="0.25">
      <c r="A262" s="64" t="s">
        <v>991</v>
      </c>
      <c r="B262" s="69" t="s">
        <v>886</v>
      </c>
      <c r="C262" s="12" t="s">
        <v>72</v>
      </c>
      <c r="D262" s="13">
        <v>1558.4</v>
      </c>
      <c r="E262" s="18"/>
      <c r="F262" s="215">
        <v>271007</v>
      </c>
      <c r="G262" s="215">
        <f t="shared" si="147"/>
        <v>9128</v>
      </c>
      <c r="H262" s="19">
        <f t="shared" si="148"/>
        <v>280135</v>
      </c>
      <c r="I262" s="15"/>
      <c r="J262" s="22"/>
      <c r="K262" s="15"/>
      <c r="L262" s="15"/>
      <c r="M262" s="22"/>
      <c r="N262" s="22"/>
      <c r="O262" s="22">
        <f t="shared" si="149"/>
        <v>3795829</v>
      </c>
      <c r="P262" s="19">
        <f t="shared" si="150"/>
        <v>383379</v>
      </c>
      <c r="Q262" s="19">
        <f t="shared" si="151"/>
        <v>4179208</v>
      </c>
      <c r="R262" s="6">
        <f t="shared" si="152"/>
        <v>43882</v>
      </c>
      <c r="S262" s="6"/>
      <c r="T262" s="6"/>
      <c r="U262" s="122">
        <f t="shared" ref="U262:U273" si="178">Q262*$U$6</f>
        <v>321243</v>
      </c>
      <c r="V262" s="122">
        <f t="shared" ref="V262:V273" si="179">Q262*$V$6</f>
        <v>4921</v>
      </c>
      <c r="W262" s="122">
        <f t="shared" ref="W262:W273" si="180">Q262*$W$6</f>
        <v>377244</v>
      </c>
      <c r="X262" s="6"/>
      <c r="Y262" s="168">
        <f t="shared" ref="Y262:Y273" si="181">Q262*$Y$7</f>
        <v>78397</v>
      </c>
      <c r="Z262" s="6"/>
      <c r="AA262" s="19">
        <f t="shared" ref="AA262:AA273" si="182">SUM(Q262:Z262)</f>
        <v>5004895</v>
      </c>
      <c r="AB262" s="19">
        <f t="shared" ref="AB262:AB273" si="183">$AA262*AB$7</f>
        <v>5393375</v>
      </c>
      <c r="AC262" s="15">
        <f t="shared" ref="AC262:AC273" si="184">AB262/D262</f>
        <v>3460.84</v>
      </c>
      <c r="AD262" s="15">
        <f t="shared" ref="AD262:AD273" si="185">AC262*D262</f>
        <v>5393373.0599999996</v>
      </c>
      <c r="AE262" s="25"/>
      <c r="AF262" s="157">
        <f t="shared" si="153"/>
        <v>-1.94</v>
      </c>
    </row>
    <row r="263" spans="1:32" s="4" customFormat="1" x14ac:dyDescent="0.25">
      <c r="A263" s="64" t="s">
        <v>992</v>
      </c>
      <c r="B263" s="69" t="s">
        <v>887</v>
      </c>
      <c r="C263" s="12" t="s">
        <v>888</v>
      </c>
      <c r="D263" s="13">
        <v>116.2</v>
      </c>
      <c r="E263" s="18"/>
      <c r="F263" s="215">
        <v>11141</v>
      </c>
      <c r="G263" s="215">
        <f t="shared" si="147"/>
        <v>375</v>
      </c>
      <c r="H263" s="19">
        <f t="shared" si="148"/>
        <v>11516</v>
      </c>
      <c r="I263" s="15"/>
      <c r="J263" s="22"/>
      <c r="K263" s="15"/>
      <c r="L263" s="15"/>
      <c r="M263" s="22"/>
      <c r="N263" s="22"/>
      <c r="O263" s="22">
        <f t="shared" si="149"/>
        <v>156042</v>
      </c>
      <c r="P263" s="19">
        <f t="shared" si="150"/>
        <v>15760</v>
      </c>
      <c r="Q263" s="19">
        <f t="shared" si="151"/>
        <v>171802</v>
      </c>
      <c r="R263" s="6">
        <f t="shared" si="152"/>
        <v>1804</v>
      </c>
      <c r="S263" s="6"/>
      <c r="T263" s="6"/>
      <c r="U263" s="122">
        <f t="shared" si="178"/>
        <v>13206</v>
      </c>
      <c r="V263" s="122">
        <f t="shared" si="179"/>
        <v>202</v>
      </c>
      <c r="W263" s="122">
        <f t="shared" si="180"/>
        <v>15508</v>
      </c>
      <c r="X263" s="6"/>
      <c r="Y263" s="168">
        <f t="shared" si="181"/>
        <v>3223</v>
      </c>
      <c r="Z263" s="6"/>
      <c r="AA263" s="19">
        <f t="shared" si="182"/>
        <v>205745</v>
      </c>
      <c r="AB263" s="19">
        <f t="shared" si="183"/>
        <v>221715</v>
      </c>
      <c r="AC263" s="15">
        <f t="shared" si="184"/>
        <v>1908.05</v>
      </c>
      <c r="AD263" s="15">
        <f t="shared" si="185"/>
        <v>221715.41</v>
      </c>
      <c r="AE263" s="25"/>
      <c r="AF263" s="157">
        <f t="shared" si="153"/>
        <v>0.41</v>
      </c>
    </row>
    <row r="264" spans="1:32" s="4" customFormat="1" x14ac:dyDescent="0.25">
      <c r="A264" s="64" t="s">
        <v>993</v>
      </c>
      <c r="B264" s="69" t="s">
        <v>889</v>
      </c>
      <c r="C264" s="12" t="s">
        <v>890</v>
      </c>
      <c r="D264" s="13">
        <v>219.36</v>
      </c>
      <c r="E264" s="18"/>
      <c r="F264" s="215">
        <v>414758</v>
      </c>
      <c r="G264" s="215">
        <f t="shared" si="147"/>
        <v>13969</v>
      </c>
      <c r="H264" s="19">
        <f t="shared" si="148"/>
        <v>428727</v>
      </c>
      <c r="I264" s="15"/>
      <c r="J264" s="22"/>
      <c r="K264" s="15"/>
      <c r="L264" s="15"/>
      <c r="M264" s="22"/>
      <c r="N264" s="22"/>
      <c r="O264" s="22">
        <f t="shared" si="149"/>
        <v>5809251</v>
      </c>
      <c r="P264" s="19">
        <f t="shared" si="150"/>
        <v>586734</v>
      </c>
      <c r="Q264" s="19">
        <f t="shared" si="151"/>
        <v>6395985</v>
      </c>
      <c r="R264" s="6">
        <f t="shared" si="152"/>
        <v>67158</v>
      </c>
      <c r="S264" s="6"/>
      <c r="T264" s="6"/>
      <c r="U264" s="122">
        <f t="shared" si="178"/>
        <v>491641</v>
      </c>
      <c r="V264" s="122">
        <f t="shared" si="179"/>
        <v>7531</v>
      </c>
      <c r="W264" s="122">
        <f t="shared" si="180"/>
        <v>577346</v>
      </c>
      <c r="X264" s="6"/>
      <c r="Y264" s="168">
        <f t="shared" si="181"/>
        <v>119980</v>
      </c>
      <c r="Z264" s="6"/>
      <c r="AA264" s="19">
        <f t="shared" si="182"/>
        <v>7659641</v>
      </c>
      <c r="AB264" s="19">
        <f t="shared" si="183"/>
        <v>8254182</v>
      </c>
      <c r="AC264" s="15">
        <f t="shared" si="184"/>
        <v>37628.47</v>
      </c>
      <c r="AD264" s="15">
        <f t="shared" si="185"/>
        <v>8254181.1799999997</v>
      </c>
      <c r="AE264" s="25"/>
      <c r="AF264" s="157">
        <f t="shared" si="153"/>
        <v>-0.82</v>
      </c>
    </row>
    <row r="265" spans="1:32" s="4" customFormat="1" x14ac:dyDescent="0.25">
      <c r="A265" s="64" t="s">
        <v>994</v>
      </c>
      <c r="B265" s="69" t="s">
        <v>891</v>
      </c>
      <c r="C265" s="12" t="s">
        <v>311</v>
      </c>
      <c r="D265" s="13">
        <v>4.83</v>
      </c>
      <c r="E265" s="18"/>
      <c r="F265" s="215">
        <v>120161</v>
      </c>
      <c r="G265" s="215">
        <f t="shared" si="147"/>
        <v>4047</v>
      </c>
      <c r="H265" s="19">
        <f t="shared" si="148"/>
        <v>124208</v>
      </c>
      <c r="I265" s="15"/>
      <c r="J265" s="22"/>
      <c r="K265" s="15"/>
      <c r="L265" s="15"/>
      <c r="M265" s="22"/>
      <c r="N265" s="22"/>
      <c r="O265" s="22">
        <f t="shared" si="149"/>
        <v>1683018</v>
      </c>
      <c r="P265" s="19">
        <f t="shared" si="150"/>
        <v>169985</v>
      </c>
      <c r="Q265" s="19">
        <f t="shared" si="151"/>
        <v>1853003</v>
      </c>
      <c r="R265" s="6">
        <f t="shared" si="152"/>
        <v>19457</v>
      </c>
      <c r="S265" s="6"/>
      <c r="T265" s="6"/>
      <c r="U265" s="122">
        <f t="shared" si="178"/>
        <v>142435</v>
      </c>
      <c r="V265" s="122">
        <f t="shared" si="179"/>
        <v>2182</v>
      </c>
      <c r="W265" s="122">
        <f t="shared" si="180"/>
        <v>167265</v>
      </c>
      <c r="X265" s="6"/>
      <c r="Y265" s="168">
        <f t="shared" si="181"/>
        <v>34760</v>
      </c>
      <c r="Z265" s="6"/>
      <c r="AA265" s="19">
        <f t="shared" si="182"/>
        <v>2219102</v>
      </c>
      <c r="AB265" s="19">
        <f t="shared" si="183"/>
        <v>2391349</v>
      </c>
      <c r="AC265" s="15">
        <f t="shared" si="184"/>
        <v>495103.31</v>
      </c>
      <c r="AD265" s="15">
        <f t="shared" si="185"/>
        <v>2391348.9900000002</v>
      </c>
      <c r="AE265" s="25"/>
      <c r="AF265" s="157">
        <f t="shared" si="153"/>
        <v>-0.01</v>
      </c>
    </row>
    <row r="266" spans="1:32" s="4" customFormat="1" x14ac:dyDescent="0.25">
      <c r="A266" s="64" t="s">
        <v>995</v>
      </c>
      <c r="B266" s="69" t="s">
        <v>892</v>
      </c>
      <c r="C266" s="12" t="s">
        <v>890</v>
      </c>
      <c r="D266" s="13">
        <v>55.59</v>
      </c>
      <c r="E266" s="18"/>
      <c r="F266" s="215">
        <v>297556</v>
      </c>
      <c r="G266" s="215">
        <f t="shared" si="147"/>
        <v>10022</v>
      </c>
      <c r="H266" s="19">
        <f t="shared" si="148"/>
        <v>307578</v>
      </c>
      <c r="I266" s="15"/>
      <c r="J266" s="22"/>
      <c r="K266" s="15"/>
      <c r="L266" s="15"/>
      <c r="M266" s="22"/>
      <c r="N266" s="22"/>
      <c r="O266" s="22">
        <f t="shared" si="149"/>
        <v>4167682</v>
      </c>
      <c r="P266" s="19">
        <f t="shared" si="150"/>
        <v>420936</v>
      </c>
      <c r="Q266" s="19">
        <f t="shared" si="151"/>
        <v>4588618</v>
      </c>
      <c r="R266" s="6">
        <f t="shared" si="152"/>
        <v>48180</v>
      </c>
      <c r="S266" s="6"/>
      <c r="T266" s="6"/>
      <c r="U266" s="122">
        <f t="shared" si="178"/>
        <v>352714</v>
      </c>
      <c r="V266" s="122">
        <f t="shared" si="179"/>
        <v>5403</v>
      </c>
      <c r="W266" s="122">
        <f t="shared" si="180"/>
        <v>414200</v>
      </c>
      <c r="X266" s="6"/>
      <c r="Y266" s="168">
        <f t="shared" si="181"/>
        <v>86077</v>
      </c>
      <c r="Z266" s="6"/>
      <c r="AA266" s="19">
        <f t="shared" si="182"/>
        <v>5495192</v>
      </c>
      <c r="AB266" s="19">
        <f t="shared" si="183"/>
        <v>5921729</v>
      </c>
      <c r="AC266" s="15">
        <f t="shared" si="184"/>
        <v>106525.08</v>
      </c>
      <c r="AD266" s="15">
        <f t="shared" si="185"/>
        <v>5921729.2000000002</v>
      </c>
      <c r="AE266" s="25"/>
      <c r="AF266" s="157">
        <f t="shared" si="153"/>
        <v>0.2</v>
      </c>
    </row>
    <row r="267" spans="1:32" s="4" customFormat="1" x14ac:dyDescent="0.25">
      <c r="A267" s="64" t="s">
        <v>996</v>
      </c>
      <c r="B267" s="69" t="s">
        <v>893</v>
      </c>
      <c r="C267" s="12" t="s">
        <v>72</v>
      </c>
      <c r="D267" s="13">
        <v>1340.4</v>
      </c>
      <c r="E267" s="18"/>
      <c r="F267" s="215">
        <v>170426</v>
      </c>
      <c r="G267" s="215">
        <f t="shared" si="147"/>
        <v>5740</v>
      </c>
      <c r="H267" s="19">
        <f t="shared" si="148"/>
        <v>176166</v>
      </c>
      <c r="I267" s="15"/>
      <c r="J267" s="22"/>
      <c r="K267" s="15"/>
      <c r="L267" s="15"/>
      <c r="M267" s="22"/>
      <c r="N267" s="22"/>
      <c r="O267" s="22">
        <f t="shared" si="149"/>
        <v>2387049</v>
      </c>
      <c r="P267" s="19">
        <f t="shared" si="150"/>
        <v>241092</v>
      </c>
      <c r="Q267" s="19">
        <f t="shared" si="151"/>
        <v>2628141</v>
      </c>
      <c r="R267" s="6">
        <f t="shared" si="152"/>
        <v>27595</v>
      </c>
      <c r="S267" s="6"/>
      <c r="T267" s="6"/>
      <c r="U267" s="122">
        <f t="shared" si="178"/>
        <v>202017</v>
      </c>
      <c r="V267" s="122">
        <f t="shared" si="179"/>
        <v>3094</v>
      </c>
      <c r="W267" s="122">
        <f t="shared" si="180"/>
        <v>237234</v>
      </c>
      <c r="X267" s="6"/>
      <c r="Y267" s="168">
        <f t="shared" si="181"/>
        <v>49301</v>
      </c>
      <c r="Z267" s="6"/>
      <c r="AA267" s="19">
        <f t="shared" si="182"/>
        <v>3147382</v>
      </c>
      <c r="AB267" s="19">
        <f t="shared" si="183"/>
        <v>3391682</v>
      </c>
      <c r="AC267" s="15">
        <f t="shared" si="184"/>
        <v>2530.35</v>
      </c>
      <c r="AD267" s="15">
        <f t="shared" si="185"/>
        <v>3391681.14</v>
      </c>
      <c r="AE267" s="25"/>
      <c r="AF267" s="157">
        <f t="shared" si="153"/>
        <v>-0.86</v>
      </c>
    </row>
    <row r="268" spans="1:32" s="4" customFormat="1" x14ac:dyDescent="0.25">
      <c r="A268" s="64" t="s">
        <v>997</v>
      </c>
      <c r="B268" s="69" t="s">
        <v>894</v>
      </c>
      <c r="C268" s="12" t="s">
        <v>72</v>
      </c>
      <c r="D268" s="13">
        <v>1363.3</v>
      </c>
      <c r="E268" s="18"/>
      <c r="F268" s="215">
        <v>250824</v>
      </c>
      <c r="G268" s="215">
        <f t="shared" si="147"/>
        <v>8448</v>
      </c>
      <c r="H268" s="19">
        <f t="shared" si="148"/>
        <v>259272</v>
      </c>
      <c r="I268" s="15"/>
      <c r="J268" s="22"/>
      <c r="K268" s="15"/>
      <c r="L268" s="15"/>
      <c r="M268" s="22"/>
      <c r="N268" s="22"/>
      <c r="O268" s="22">
        <f t="shared" si="149"/>
        <v>3513136</v>
      </c>
      <c r="P268" s="19">
        <f t="shared" si="150"/>
        <v>354827</v>
      </c>
      <c r="Q268" s="19">
        <f t="shared" si="151"/>
        <v>3867963</v>
      </c>
      <c r="R268" s="6">
        <f t="shared" si="152"/>
        <v>40614</v>
      </c>
      <c r="S268" s="6"/>
      <c r="T268" s="6"/>
      <c r="U268" s="122">
        <f t="shared" si="178"/>
        <v>297319</v>
      </c>
      <c r="V268" s="122">
        <f t="shared" si="179"/>
        <v>4554</v>
      </c>
      <c r="W268" s="122">
        <f t="shared" si="180"/>
        <v>349149</v>
      </c>
      <c r="X268" s="6"/>
      <c r="Y268" s="168">
        <f t="shared" si="181"/>
        <v>72558</v>
      </c>
      <c r="Z268" s="6"/>
      <c r="AA268" s="19">
        <f t="shared" si="182"/>
        <v>4632157</v>
      </c>
      <c r="AB268" s="19">
        <f t="shared" si="183"/>
        <v>4991705</v>
      </c>
      <c r="AC268" s="15">
        <f t="shared" si="184"/>
        <v>3661.49</v>
      </c>
      <c r="AD268" s="15">
        <f t="shared" si="185"/>
        <v>4991709.32</v>
      </c>
      <c r="AE268" s="25"/>
      <c r="AF268" s="157">
        <f t="shared" si="153"/>
        <v>4.32</v>
      </c>
    </row>
    <row r="269" spans="1:32" s="4" customFormat="1" ht="25.5" x14ac:dyDescent="0.25">
      <c r="A269" s="64" t="s">
        <v>998</v>
      </c>
      <c r="B269" s="69" t="s">
        <v>895</v>
      </c>
      <c r="C269" s="12" t="s">
        <v>72</v>
      </c>
      <c r="D269" s="13">
        <v>135.6</v>
      </c>
      <c r="E269" s="18"/>
      <c r="F269" s="215">
        <v>24988</v>
      </c>
      <c r="G269" s="215">
        <f t="shared" si="147"/>
        <v>842</v>
      </c>
      <c r="H269" s="19">
        <f t="shared" si="148"/>
        <v>25830</v>
      </c>
      <c r="I269" s="15"/>
      <c r="J269" s="22"/>
      <c r="K269" s="15"/>
      <c r="L269" s="15"/>
      <c r="M269" s="22"/>
      <c r="N269" s="22"/>
      <c r="O269" s="22">
        <f t="shared" si="149"/>
        <v>349997</v>
      </c>
      <c r="P269" s="19">
        <f t="shared" si="150"/>
        <v>35350</v>
      </c>
      <c r="Q269" s="19">
        <f t="shared" si="151"/>
        <v>385347</v>
      </c>
      <c r="R269" s="6">
        <f t="shared" si="152"/>
        <v>4046</v>
      </c>
      <c r="S269" s="6"/>
      <c r="T269" s="6"/>
      <c r="U269" s="122">
        <f t="shared" si="178"/>
        <v>29620</v>
      </c>
      <c r="V269" s="122">
        <f t="shared" si="179"/>
        <v>454</v>
      </c>
      <c r="W269" s="122">
        <f t="shared" si="180"/>
        <v>34784</v>
      </c>
      <c r="X269" s="6"/>
      <c r="Y269" s="168">
        <f t="shared" si="181"/>
        <v>7229</v>
      </c>
      <c r="Z269" s="6"/>
      <c r="AA269" s="19">
        <f t="shared" si="182"/>
        <v>461480</v>
      </c>
      <c r="AB269" s="19">
        <f t="shared" si="183"/>
        <v>497300</v>
      </c>
      <c r="AC269" s="15">
        <f t="shared" si="184"/>
        <v>3667.4</v>
      </c>
      <c r="AD269" s="15">
        <f t="shared" si="185"/>
        <v>497299.44</v>
      </c>
      <c r="AE269" s="25"/>
      <c r="AF269" s="157">
        <f t="shared" si="153"/>
        <v>-0.56000000000000005</v>
      </c>
    </row>
    <row r="270" spans="1:32" s="4" customFormat="1" x14ac:dyDescent="0.25">
      <c r="A270" s="64" t="s">
        <v>999</v>
      </c>
      <c r="B270" s="69" t="s">
        <v>896</v>
      </c>
      <c r="C270" s="12" t="s">
        <v>72</v>
      </c>
      <c r="D270" s="13">
        <v>135.6</v>
      </c>
      <c r="E270" s="18"/>
      <c r="F270" s="215">
        <v>3842</v>
      </c>
      <c r="G270" s="215">
        <f t="shared" si="147"/>
        <v>129</v>
      </c>
      <c r="H270" s="19">
        <f t="shared" si="148"/>
        <v>3971</v>
      </c>
      <c r="I270" s="15"/>
      <c r="J270" s="22"/>
      <c r="K270" s="15"/>
      <c r="L270" s="15"/>
      <c r="M270" s="22"/>
      <c r="N270" s="22"/>
      <c r="O270" s="22">
        <f t="shared" si="149"/>
        <v>53807</v>
      </c>
      <c r="P270" s="19">
        <f t="shared" si="150"/>
        <v>5435</v>
      </c>
      <c r="Q270" s="19">
        <f t="shared" si="151"/>
        <v>59242</v>
      </c>
      <c r="R270" s="6">
        <f t="shared" si="152"/>
        <v>622</v>
      </c>
      <c r="S270" s="6"/>
      <c r="T270" s="6"/>
      <c r="U270" s="122">
        <f t="shared" si="178"/>
        <v>4554</v>
      </c>
      <c r="V270" s="122">
        <f t="shared" si="179"/>
        <v>70</v>
      </c>
      <c r="W270" s="122">
        <f t="shared" si="180"/>
        <v>5348</v>
      </c>
      <c r="X270" s="6"/>
      <c r="Y270" s="168">
        <f t="shared" si="181"/>
        <v>1111</v>
      </c>
      <c r="Z270" s="6"/>
      <c r="AA270" s="19">
        <f t="shared" si="182"/>
        <v>70947</v>
      </c>
      <c r="AB270" s="19">
        <f t="shared" si="183"/>
        <v>76454</v>
      </c>
      <c r="AC270" s="15">
        <f t="shared" si="184"/>
        <v>563.82000000000005</v>
      </c>
      <c r="AD270" s="15">
        <f t="shared" si="185"/>
        <v>76453.990000000005</v>
      </c>
      <c r="AE270" s="25"/>
      <c r="AF270" s="157">
        <f t="shared" si="153"/>
        <v>-0.01</v>
      </c>
    </row>
    <row r="271" spans="1:32" s="4" customFormat="1" x14ac:dyDescent="0.25">
      <c r="A271" s="64" t="s">
        <v>1000</v>
      </c>
      <c r="B271" s="69" t="s">
        <v>897</v>
      </c>
      <c r="C271" s="12" t="s">
        <v>890</v>
      </c>
      <c r="D271" s="13">
        <v>96.16</v>
      </c>
      <c r="E271" s="18"/>
      <c r="F271" s="215">
        <v>378370</v>
      </c>
      <c r="G271" s="215">
        <f t="shared" si="147"/>
        <v>12744</v>
      </c>
      <c r="H271" s="19">
        <f t="shared" si="148"/>
        <v>391114</v>
      </c>
      <c r="I271" s="15"/>
      <c r="J271" s="22"/>
      <c r="K271" s="15"/>
      <c r="L271" s="15"/>
      <c r="M271" s="22"/>
      <c r="N271" s="22"/>
      <c r="O271" s="22">
        <f t="shared" si="149"/>
        <v>5299595</v>
      </c>
      <c r="P271" s="19">
        <f t="shared" si="150"/>
        <v>535259</v>
      </c>
      <c r="Q271" s="19">
        <f t="shared" si="151"/>
        <v>5834854</v>
      </c>
      <c r="R271" s="6">
        <f t="shared" si="152"/>
        <v>61266</v>
      </c>
      <c r="S271" s="6"/>
      <c r="T271" s="6"/>
      <c r="U271" s="122">
        <f t="shared" si="178"/>
        <v>448508</v>
      </c>
      <c r="V271" s="122">
        <f t="shared" si="179"/>
        <v>6870</v>
      </c>
      <c r="W271" s="122">
        <f t="shared" si="180"/>
        <v>526694</v>
      </c>
      <c r="X271" s="6"/>
      <c r="Y271" s="168">
        <f t="shared" si="181"/>
        <v>109454</v>
      </c>
      <c r="Z271" s="6"/>
      <c r="AA271" s="19">
        <f t="shared" si="182"/>
        <v>6987646</v>
      </c>
      <c r="AB271" s="19">
        <f t="shared" si="183"/>
        <v>7530027</v>
      </c>
      <c r="AC271" s="15">
        <f t="shared" si="184"/>
        <v>78307.27</v>
      </c>
      <c r="AD271" s="15">
        <f t="shared" si="185"/>
        <v>7530027.0800000001</v>
      </c>
      <c r="AE271" s="25"/>
      <c r="AF271" s="157">
        <f t="shared" si="153"/>
        <v>0.08</v>
      </c>
    </row>
    <row r="272" spans="1:32" s="4" customFormat="1" ht="25.5" x14ac:dyDescent="0.25">
      <c r="A272" s="64" t="s">
        <v>1001</v>
      </c>
      <c r="B272" s="69" t="s">
        <v>898</v>
      </c>
      <c r="C272" s="12" t="s">
        <v>890</v>
      </c>
      <c r="D272" s="13">
        <v>114.42</v>
      </c>
      <c r="E272" s="18"/>
      <c r="F272" s="215">
        <v>164671</v>
      </c>
      <c r="G272" s="215">
        <f t="shared" si="147"/>
        <v>5546</v>
      </c>
      <c r="H272" s="19">
        <f t="shared" si="148"/>
        <v>170217</v>
      </c>
      <c r="I272" s="15"/>
      <c r="J272" s="22"/>
      <c r="K272" s="15"/>
      <c r="L272" s="15"/>
      <c r="M272" s="22"/>
      <c r="N272" s="22"/>
      <c r="O272" s="22">
        <f t="shared" si="149"/>
        <v>2306440</v>
      </c>
      <c r="P272" s="19">
        <f t="shared" si="150"/>
        <v>232950</v>
      </c>
      <c r="Q272" s="19">
        <f t="shared" si="151"/>
        <v>2539390</v>
      </c>
      <c r="R272" s="6">
        <f t="shared" si="152"/>
        <v>26664</v>
      </c>
      <c r="S272" s="6"/>
      <c r="T272" s="6"/>
      <c r="U272" s="122">
        <f t="shared" si="178"/>
        <v>195195</v>
      </c>
      <c r="V272" s="122">
        <f t="shared" si="179"/>
        <v>2990</v>
      </c>
      <c r="W272" s="122">
        <f t="shared" si="180"/>
        <v>229223</v>
      </c>
      <c r="X272" s="6"/>
      <c r="Y272" s="168">
        <f t="shared" si="181"/>
        <v>47636</v>
      </c>
      <c r="Z272" s="6"/>
      <c r="AA272" s="19">
        <f t="shared" si="182"/>
        <v>3041098</v>
      </c>
      <c r="AB272" s="19">
        <f t="shared" si="183"/>
        <v>3277148</v>
      </c>
      <c r="AC272" s="15">
        <f t="shared" si="184"/>
        <v>28641.39</v>
      </c>
      <c r="AD272" s="15">
        <f t="shared" si="185"/>
        <v>3277147.84</v>
      </c>
      <c r="AE272" s="25"/>
      <c r="AF272" s="157">
        <f t="shared" ref="AF272" si="186">AD272-AB272</f>
        <v>-0.16</v>
      </c>
    </row>
    <row r="273" spans="1:32" s="4" customFormat="1" ht="38.25" x14ac:dyDescent="0.25">
      <c r="A273" s="64" t="s">
        <v>1002</v>
      </c>
      <c r="B273" s="69" t="s">
        <v>966</v>
      </c>
      <c r="C273" s="12" t="s">
        <v>311</v>
      </c>
      <c r="D273" s="13">
        <v>0.67</v>
      </c>
      <c r="E273" s="18"/>
      <c r="F273" s="215">
        <v>46808</v>
      </c>
      <c r="G273" s="215">
        <f t="shared" si="147"/>
        <v>1577</v>
      </c>
      <c r="H273" s="19">
        <f t="shared" si="148"/>
        <v>48385</v>
      </c>
      <c r="I273" s="15"/>
      <c r="J273" s="22"/>
      <c r="K273" s="15"/>
      <c r="L273" s="15"/>
      <c r="M273" s="22"/>
      <c r="N273" s="22"/>
      <c r="O273" s="22">
        <f t="shared" si="149"/>
        <v>655617</v>
      </c>
      <c r="P273" s="19">
        <f t="shared" si="150"/>
        <v>66217</v>
      </c>
      <c r="Q273" s="19">
        <f t="shared" si="151"/>
        <v>721834</v>
      </c>
      <c r="R273" s="6">
        <f t="shared" si="152"/>
        <v>7579</v>
      </c>
      <c r="S273" s="6"/>
      <c r="T273" s="6"/>
      <c r="U273" s="122">
        <f t="shared" si="178"/>
        <v>55485</v>
      </c>
      <c r="V273" s="122">
        <f t="shared" si="179"/>
        <v>850</v>
      </c>
      <c r="W273" s="122">
        <f t="shared" si="180"/>
        <v>65158</v>
      </c>
      <c r="X273" s="6"/>
      <c r="Y273" s="168">
        <f t="shared" si="181"/>
        <v>13541</v>
      </c>
      <c r="Z273" s="6"/>
      <c r="AA273" s="19">
        <f t="shared" si="182"/>
        <v>864447</v>
      </c>
      <c r="AB273" s="19">
        <f t="shared" si="183"/>
        <v>931545</v>
      </c>
      <c r="AC273" s="15">
        <f t="shared" si="184"/>
        <v>1390365.67</v>
      </c>
      <c r="AD273" s="15">
        <f t="shared" si="185"/>
        <v>931545</v>
      </c>
      <c r="AE273" s="25"/>
      <c r="AF273" s="157">
        <f t="shared" si="153"/>
        <v>0</v>
      </c>
    </row>
    <row r="274" spans="1:32" s="4" customFormat="1" x14ac:dyDescent="0.25">
      <c r="A274" s="23" t="s">
        <v>1003</v>
      </c>
      <c r="B274" s="26" t="s">
        <v>899</v>
      </c>
      <c r="C274" s="21"/>
      <c r="D274" s="212"/>
      <c r="E274" s="213"/>
      <c r="F274" s="216"/>
      <c r="G274" s="215"/>
      <c r="H274" s="19"/>
      <c r="I274" s="32"/>
      <c r="J274" s="22"/>
      <c r="K274" s="15"/>
      <c r="L274" s="15"/>
      <c r="M274" s="31"/>
      <c r="N274" s="31"/>
      <c r="O274" s="22"/>
      <c r="P274" s="19"/>
      <c r="Q274" s="19"/>
      <c r="R274" s="6"/>
      <c r="S274" s="6"/>
      <c r="T274" s="6"/>
      <c r="U274" s="122"/>
      <c r="V274" s="122"/>
      <c r="W274" s="122"/>
      <c r="X274" s="6"/>
      <c r="Y274" s="168"/>
      <c r="Z274" s="6"/>
      <c r="AA274" s="19"/>
      <c r="AB274" s="19"/>
      <c r="AC274" s="15"/>
      <c r="AD274" s="15"/>
      <c r="AE274" s="25"/>
      <c r="AF274" s="157">
        <f t="shared" si="153"/>
        <v>0</v>
      </c>
    </row>
    <row r="275" spans="1:32" s="4" customFormat="1" x14ac:dyDescent="0.25">
      <c r="A275" s="64" t="s">
        <v>1004</v>
      </c>
      <c r="B275" s="69" t="s">
        <v>900</v>
      </c>
      <c r="C275" s="12" t="s">
        <v>70</v>
      </c>
      <c r="D275" s="13">
        <v>34.4</v>
      </c>
      <c r="E275" s="18"/>
      <c r="F275" s="215">
        <v>9904</v>
      </c>
      <c r="G275" s="215">
        <f t="shared" si="147"/>
        <v>334</v>
      </c>
      <c r="H275" s="19">
        <f t="shared" si="148"/>
        <v>10238</v>
      </c>
      <c r="I275" s="15"/>
      <c r="J275" s="22"/>
      <c r="K275" s="15"/>
      <c r="L275" s="15"/>
      <c r="M275" s="22"/>
      <c r="N275" s="22"/>
      <c r="O275" s="22">
        <f t="shared" si="149"/>
        <v>138725</v>
      </c>
      <c r="P275" s="19">
        <f t="shared" si="150"/>
        <v>14011</v>
      </c>
      <c r="Q275" s="19">
        <f t="shared" si="151"/>
        <v>152736</v>
      </c>
      <c r="R275" s="6">
        <f t="shared" si="152"/>
        <v>1604</v>
      </c>
      <c r="S275" s="6"/>
      <c r="T275" s="6"/>
      <c r="U275" s="122">
        <f t="shared" ref="U275:U287" si="187">Q275*$U$6</f>
        <v>11740</v>
      </c>
      <c r="V275" s="122">
        <f t="shared" ref="V275:V287" si="188">Q275*$V$6</f>
        <v>180</v>
      </c>
      <c r="W275" s="122">
        <f t="shared" ref="W275:W287" si="189">Q275*$W$6</f>
        <v>13787</v>
      </c>
      <c r="X275" s="6"/>
      <c r="Y275" s="168">
        <f t="shared" ref="Y275:Y287" si="190">Q275*$Y$7</f>
        <v>2865</v>
      </c>
      <c r="Z275" s="6"/>
      <c r="AA275" s="19">
        <f t="shared" ref="AA275:AA287" si="191">SUM(Q275:Z275)</f>
        <v>182912</v>
      </c>
      <c r="AB275" s="19">
        <f t="shared" ref="AB275:AB287" si="192">$AA275*AB$7</f>
        <v>197110</v>
      </c>
      <c r="AC275" s="15">
        <f t="shared" ref="AC275:AC287" si="193">AB275/D275</f>
        <v>5729.94</v>
      </c>
      <c r="AD275" s="15">
        <f t="shared" ref="AD275:AD287" si="194">AC275*D275</f>
        <v>197109.94</v>
      </c>
      <c r="AE275" s="25"/>
      <c r="AF275" s="157">
        <f t="shared" si="153"/>
        <v>-0.06</v>
      </c>
    </row>
    <row r="276" spans="1:32" s="4" customFormat="1" x14ac:dyDescent="0.25">
      <c r="A276" s="64" t="s">
        <v>1005</v>
      </c>
      <c r="B276" s="69" t="s">
        <v>901</v>
      </c>
      <c r="C276" s="12" t="s">
        <v>70</v>
      </c>
      <c r="D276" s="13">
        <v>39.1</v>
      </c>
      <c r="E276" s="18"/>
      <c r="F276" s="215">
        <v>11973</v>
      </c>
      <c r="G276" s="215">
        <f t="shared" si="147"/>
        <v>403</v>
      </c>
      <c r="H276" s="19">
        <f t="shared" si="148"/>
        <v>12376</v>
      </c>
      <c r="I276" s="15"/>
      <c r="J276" s="22"/>
      <c r="K276" s="15"/>
      <c r="L276" s="15"/>
      <c r="M276" s="22"/>
      <c r="N276" s="22"/>
      <c r="O276" s="22">
        <f t="shared" si="149"/>
        <v>167695</v>
      </c>
      <c r="P276" s="19">
        <f t="shared" si="150"/>
        <v>16937</v>
      </c>
      <c r="Q276" s="19">
        <f t="shared" si="151"/>
        <v>184632</v>
      </c>
      <c r="R276" s="6">
        <f t="shared" si="152"/>
        <v>1939</v>
      </c>
      <c r="S276" s="6"/>
      <c r="T276" s="6"/>
      <c r="U276" s="122">
        <f t="shared" si="187"/>
        <v>14192</v>
      </c>
      <c r="V276" s="122">
        <f t="shared" si="188"/>
        <v>217</v>
      </c>
      <c r="W276" s="122">
        <f t="shared" si="189"/>
        <v>16666</v>
      </c>
      <c r="X276" s="6"/>
      <c r="Y276" s="168">
        <f t="shared" si="190"/>
        <v>3463</v>
      </c>
      <c r="Z276" s="6"/>
      <c r="AA276" s="19">
        <f t="shared" si="191"/>
        <v>221109</v>
      </c>
      <c r="AB276" s="19">
        <f t="shared" si="192"/>
        <v>238271</v>
      </c>
      <c r="AC276" s="15">
        <f t="shared" si="193"/>
        <v>6093.89</v>
      </c>
      <c r="AD276" s="15">
        <f t="shared" si="194"/>
        <v>238271.1</v>
      </c>
      <c r="AE276" s="25"/>
      <c r="AF276" s="157">
        <f t="shared" si="153"/>
        <v>0.1</v>
      </c>
    </row>
    <row r="277" spans="1:32" s="4" customFormat="1" x14ac:dyDescent="0.25">
      <c r="A277" s="64" t="s">
        <v>1006</v>
      </c>
      <c r="B277" s="69" t="s">
        <v>902</v>
      </c>
      <c r="C277" s="12" t="s">
        <v>70</v>
      </c>
      <c r="D277" s="13">
        <v>17</v>
      </c>
      <c r="E277" s="18"/>
      <c r="F277" s="215">
        <v>32401</v>
      </c>
      <c r="G277" s="215">
        <f t="shared" si="147"/>
        <v>1091</v>
      </c>
      <c r="H277" s="19">
        <f t="shared" si="148"/>
        <v>33492</v>
      </c>
      <c r="I277" s="15"/>
      <c r="J277" s="22"/>
      <c r="K277" s="15"/>
      <c r="L277" s="15"/>
      <c r="M277" s="22"/>
      <c r="N277" s="22"/>
      <c r="O277" s="22">
        <f t="shared" si="149"/>
        <v>453817</v>
      </c>
      <c r="P277" s="19">
        <f t="shared" si="150"/>
        <v>45836</v>
      </c>
      <c r="Q277" s="19">
        <f t="shared" si="151"/>
        <v>499653</v>
      </c>
      <c r="R277" s="6">
        <f t="shared" si="152"/>
        <v>5246</v>
      </c>
      <c r="S277" s="6"/>
      <c r="T277" s="6"/>
      <c r="U277" s="122">
        <f t="shared" si="187"/>
        <v>38407</v>
      </c>
      <c r="V277" s="122">
        <f t="shared" si="188"/>
        <v>588</v>
      </c>
      <c r="W277" s="122">
        <f t="shared" si="189"/>
        <v>45102</v>
      </c>
      <c r="X277" s="6"/>
      <c r="Y277" s="168">
        <f t="shared" si="190"/>
        <v>9373</v>
      </c>
      <c r="Z277" s="6"/>
      <c r="AA277" s="19">
        <f t="shared" si="191"/>
        <v>598369</v>
      </c>
      <c r="AB277" s="19">
        <f t="shared" si="192"/>
        <v>644814</v>
      </c>
      <c r="AC277" s="15">
        <f t="shared" si="193"/>
        <v>37930.239999999998</v>
      </c>
      <c r="AD277" s="15">
        <f t="shared" si="194"/>
        <v>644814.07999999996</v>
      </c>
      <c r="AE277" s="25"/>
      <c r="AF277" s="157">
        <f t="shared" si="153"/>
        <v>0.08</v>
      </c>
    </row>
    <row r="278" spans="1:32" s="4" customFormat="1" x14ac:dyDescent="0.25">
      <c r="A278" s="64" t="s">
        <v>1007</v>
      </c>
      <c r="B278" s="69" t="s">
        <v>903</v>
      </c>
      <c r="C278" s="12" t="s">
        <v>70</v>
      </c>
      <c r="D278" s="13">
        <v>185.2</v>
      </c>
      <c r="E278" s="18"/>
      <c r="F278" s="215">
        <v>513144</v>
      </c>
      <c r="G278" s="215">
        <f t="shared" si="147"/>
        <v>17283</v>
      </c>
      <c r="H278" s="19">
        <f t="shared" si="148"/>
        <v>530427</v>
      </c>
      <c r="I278" s="15"/>
      <c r="J278" s="22"/>
      <c r="K278" s="15"/>
      <c r="L278" s="15"/>
      <c r="M278" s="22"/>
      <c r="N278" s="22"/>
      <c r="O278" s="22">
        <f t="shared" si="149"/>
        <v>7187286</v>
      </c>
      <c r="P278" s="19">
        <f t="shared" si="150"/>
        <v>725916</v>
      </c>
      <c r="Q278" s="19">
        <f t="shared" si="151"/>
        <v>7913202</v>
      </c>
      <c r="R278" s="6">
        <f t="shared" si="152"/>
        <v>83089</v>
      </c>
      <c r="S278" s="6"/>
      <c r="T278" s="6"/>
      <c r="U278" s="122">
        <f t="shared" si="187"/>
        <v>608265</v>
      </c>
      <c r="V278" s="122">
        <f t="shared" si="188"/>
        <v>9317</v>
      </c>
      <c r="W278" s="122">
        <f t="shared" si="189"/>
        <v>714300</v>
      </c>
      <c r="X278" s="6"/>
      <c r="Y278" s="168">
        <f t="shared" si="190"/>
        <v>148441</v>
      </c>
      <c r="Z278" s="6"/>
      <c r="AA278" s="19">
        <f t="shared" si="191"/>
        <v>9476614</v>
      </c>
      <c r="AB278" s="19">
        <f t="shared" si="192"/>
        <v>10212189</v>
      </c>
      <c r="AC278" s="15">
        <f t="shared" si="193"/>
        <v>55141.41</v>
      </c>
      <c r="AD278" s="15">
        <f t="shared" si="194"/>
        <v>10212189.130000001</v>
      </c>
      <c r="AE278" s="25"/>
      <c r="AF278" s="157">
        <f t="shared" si="153"/>
        <v>0.13</v>
      </c>
    </row>
    <row r="279" spans="1:32" s="4" customFormat="1" x14ac:dyDescent="0.25">
      <c r="A279" s="64" t="s">
        <v>1008</v>
      </c>
      <c r="B279" s="69" t="s">
        <v>872</v>
      </c>
      <c r="C279" s="12" t="s">
        <v>72</v>
      </c>
      <c r="D279" s="13">
        <v>92.6</v>
      </c>
      <c r="E279" s="18"/>
      <c r="F279" s="215">
        <v>8017</v>
      </c>
      <c r="G279" s="215">
        <f t="shared" si="147"/>
        <v>270</v>
      </c>
      <c r="H279" s="19">
        <f t="shared" si="148"/>
        <v>8287</v>
      </c>
      <c r="I279" s="15"/>
      <c r="J279" s="22"/>
      <c r="K279" s="15"/>
      <c r="L279" s="15"/>
      <c r="M279" s="22"/>
      <c r="N279" s="22"/>
      <c r="O279" s="22">
        <f t="shared" si="149"/>
        <v>112289</v>
      </c>
      <c r="P279" s="19">
        <f t="shared" si="150"/>
        <v>11341</v>
      </c>
      <c r="Q279" s="19">
        <f t="shared" si="151"/>
        <v>123630</v>
      </c>
      <c r="R279" s="6">
        <f t="shared" si="152"/>
        <v>1298</v>
      </c>
      <c r="S279" s="6"/>
      <c r="T279" s="6"/>
      <c r="U279" s="122">
        <f t="shared" si="187"/>
        <v>9503</v>
      </c>
      <c r="V279" s="122">
        <f t="shared" si="188"/>
        <v>146</v>
      </c>
      <c r="W279" s="122">
        <f t="shared" si="189"/>
        <v>11160</v>
      </c>
      <c r="X279" s="6"/>
      <c r="Y279" s="168">
        <f t="shared" si="190"/>
        <v>2319</v>
      </c>
      <c r="Z279" s="6"/>
      <c r="AA279" s="19">
        <f t="shared" si="191"/>
        <v>148056</v>
      </c>
      <c r="AB279" s="19">
        <f t="shared" si="192"/>
        <v>159548</v>
      </c>
      <c r="AC279" s="15">
        <f t="shared" si="193"/>
        <v>1722.98</v>
      </c>
      <c r="AD279" s="15">
        <f t="shared" si="194"/>
        <v>159547.95000000001</v>
      </c>
      <c r="AE279" s="25"/>
      <c r="AF279" s="157">
        <f t="shared" si="153"/>
        <v>-0.05</v>
      </c>
    </row>
    <row r="280" spans="1:32" s="4" customFormat="1" x14ac:dyDescent="0.25">
      <c r="A280" s="64" t="s">
        <v>1009</v>
      </c>
      <c r="B280" s="69" t="s">
        <v>904</v>
      </c>
      <c r="C280" s="12" t="s">
        <v>72</v>
      </c>
      <c r="D280" s="13">
        <v>470.6</v>
      </c>
      <c r="E280" s="18"/>
      <c r="F280" s="215">
        <v>90005</v>
      </c>
      <c r="G280" s="215">
        <f t="shared" si="147"/>
        <v>3031</v>
      </c>
      <c r="H280" s="19">
        <f t="shared" si="148"/>
        <v>93036</v>
      </c>
      <c r="I280" s="15"/>
      <c r="J280" s="22"/>
      <c r="K280" s="15"/>
      <c r="L280" s="15"/>
      <c r="M280" s="22"/>
      <c r="N280" s="22"/>
      <c r="O280" s="22">
        <f t="shared" si="149"/>
        <v>1260638</v>
      </c>
      <c r="P280" s="19">
        <f t="shared" si="150"/>
        <v>127324</v>
      </c>
      <c r="Q280" s="19">
        <f t="shared" si="151"/>
        <v>1387962</v>
      </c>
      <c r="R280" s="6">
        <f t="shared" si="152"/>
        <v>14574</v>
      </c>
      <c r="S280" s="6"/>
      <c r="T280" s="6"/>
      <c r="U280" s="122">
        <f t="shared" si="187"/>
        <v>106689</v>
      </c>
      <c r="V280" s="122">
        <f t="shared" si="188"/>
        <v>1634</v>
      </c>
      <c r="W280" s="122">
        <f t="shared" si="189"/>
        <v>125287</v>
      </c>
      <c r="X280" s="6"/>
      <c r="Y280" s="168">
        <f t="shared" si="190"/>
        <v>26036</v>
      </c>
      <c r="Z280" s="6"/>
      <c r="AA280" s="19">
        <f t="shared" si="191"/>
        <v>1662182</v>
      </c>
      <c r="AB280" s="19">
        <f t="shared" si="192"/>
        <v>1791201</v>
      </c>
      <c r="AC280" s="15">
        <f t="shared" si="193"/>
        <v>3806.21</v>
      </c>
      <c r="AD280" s="15">
        <f t="shared" si="194"/>
        <v>1791202.43</v>
      </c>
      <c r="AE280" s="25"/>
      <c r="AF280" s="157">
        <f t="shared" si="153"/>
        <v>1.43</v>
      </c>
    </row>
    <row r="281" spans="1:32" s="4" customFormat="1" ht="25.5" x14ac:dyDescent="0.25">
      <c r="A281" s="64" t="s">
        <v>1010</v>
      </c>
      <c r="B281" s="69" t="s">
        <v>905</v>
      </c>
      <c r="C281" s="12" t="s">
        <v>72</v>
      </c>
      <c r="D281" s="13">
        <v>35.700000000000003</v>
      </c>
      <c r="E281" s="18"/>
      <c r="F281" s="215">
        <v>1626</v>
      </c>
      <c r="G281" s="215">
        <f t="shared" si="147"/>
        <v>55</v>
      </c>
      <c r="H281" s="19">
        <f t="shared" si="148"/>
        <v>1681</v>
      </c>
      <c r="I281" s="15"/>
      <c r="J281" s="22"/>
      <c r="K281" s="15"/>
      <c r="L281" s="15"/>
      <c r="M281" s="22"/>
      <c r="N281" s="22"/>
      <c r="O281" s="22">
        <f t="shared" si="149"/>
        <v>22778</v>
      </c>
      <c r="P281" s="19">
        <f t="shared" si="150"/>
        <v>2301</v>
      </c>
      <c r="Q281" s="19">
        <f t="shared" si="151"/>
        <v>25079</v>
      </c>
      <c r="R281" s="6">
        <f t="shared" si="152"/>
        <v>263</v>
      </c>
      <c r="S281" s="6"/>
      <c r="T281" s="6"/>
      <c r="U281" s="122">
        <f t="shared" si="187"/>
        <v>1928</v>
      </c>
      <c r="V281" s="122">
        <f t="shared" si="188"/>
        <v>30</v>
      </c>
      <c r="W281" s="122">
        <f t="shared" si="189"/>
        <v>2264</v>
      </c>
      <c r="X281" s="6"/>
      <c r="Y281" s="168">
        <f t="shared" si="190"/>
        <v>470</v>
      </c>
      <c r="Z281" s="6"/>
      <c r="AA281" s="19">
        <f t="shared" si="191"/>
        <v>30034</v>
      </c>
      <c r="AB281" s="19">
        <f t="shared" si="192"/>
        <v>32365</v>
      </c>
      <c r="AC281" s="15">
        <f t="shared" si="193"/>
        <v>906.58</v>
      </c>
      <c r="AD281" s="15">
        <f t="shared" si="194"/>
        <v>32364.91</v>
      </c>
      <c r="AE281" s="25"/>
      <c r="AF281" s="157">
        <f t="shared" si="153"/>
        <v>-0.09</v>
      </c>
    </row>
    <row r="282" spans="1:32" s="4" customFormat="1" x14ac:dyDescent="0.25">
      <c r="A282" s="64" t="s">
        <v>1011</v>
      </c>
      <c r="B282" s="69" t="s">
        <v>906</v>
      </c>
      <c r="C282" s="12" t="s">
        <v>72</v>
      </c>
      <c r="D282" s="13">
        <v>276.39999999999998</v>
      </c>
      <c r="E282" s="18"/>
      <c r="F282" s="215">
        <v>83416</v>
      </c>
      <c r="G282" s="215">
        <f t="shared" si="147"/>
        <v>2809</v>
      </c>
      <c r="H282" s="19">
        <f t="shared" si="148"/>
        <v>86225</v>
      </c>
      <c r="I282" s="15"/>
      <c r="J282" s="22"/>
      <c r="K282" s="15"/>
      <c r="L282" s="15"/>
      <c r="M282" s="22"/>
      <c r="N282" s="22"/>
      <c r="O282" s="22">
        <f t="shared" si="149"/>
        <v>1168349</v>
      </c>
      <c r="P282" s="19">
        <f t="shared" si="150"/>
        <v>118003</v>
      </c>
      <c r="Q282" s="19">
        <f t="shared" si="151"/>
        <v>1286352</v>
      </c>
      <c r="R282" s="6">
        <f t="shared" si="152"/>
        <v>13507</v>
      </c>
      <c r="S282" s="6"/>
      <c r="T282" s="6"/>
      <c r="U282" s="122">
        <f t="shared" si="187"/>
        <v>98878</v>
      </c>
      <c r="V282" s="122">
        <f t="shared" si="188"/>
        <v>1515</v>
      </c>
      <c r="W282" s="122">
        <f t="shared" si="189"/>
        <v>116115</v>
      </c>
      <c r="X282" s="6"/>
      <c r="Y282" s="168">
        <f t="shared" si="190"/>
        <v>24130</v>
      </c>
      <c r="Z282" s="6"/>
      <c r="AA282" s="19">
        <f t="shared" si="191"/>
        <v>1540497</v>
      </c>
      <c r="AB282" s="19">
        <f t="shared" si="192"/>
        <v>1660070</v>
      </c>
      <c r="AC282" s="15">
        <f t="shared" si="193"/>
        <v>6006.04</v>
      </c>
      <c r="AD282" s="15">
        <f t="shared" si="194"/>
        <v>1660069.46</v>
      </c>
      <c r="AE282" s="25"/>
      <c r="AF282" s="157">
        <f t="shared" si="153"/>
        <v>-0.54</v>
      </c>
    </row>
    <row r="283" spans="1:32" s="4" customFormat="1" x14ac:dyDescent="0.25">
      <c r="A283" s="64" t="s">
        <v>1012</v>
      </c>
      <c r="B283" s="69" t="s">
        <v>893</v>
      </c>
      <c r="C283" s="12" t="s">
        <v>72</v>
      </c>
      <c r="D283" s="13">
        <v>398.4</v>
      </c>
      <c r="E283" s="18"/>
      <c r="F283" s="215">
        <v>72943</v>
      </c>
      <c r="G283" s="215">
        <f t="shared" si="147"/>
        <v>2457</v>
      </c>
      <c r="H283" s="19">
        <f t="shared" si="148"/>
        <v>75400</v>
      </c>
      <c r="I283" s="15"/>
      <c r="J283" s="22"/>
      <c r="K283" s="15"/>
      <c r="L283" s="15"/>
      <c r="M283" s="22"/>
      <c r="N283" s="22"/>
      <c r="O283" s="22">
        <f t="shared" si="149"/>
        <v>1021670</v>
      </c>
      <c r="P283" s="19">
        <f t="shared" si="150"/>
        <v>103189</v>
      </c>
      <c r="Q283" s="19">
        <f t="shared" si="151"/>
        <v>1124859</v>
      </c>
      <c r="R283" s="6">
        <f t="shared" si="152"/>
        <v>11811</v>
      </c>
      <c r="S283" s="6"/>
      <c r="T283" s="6"/>
      <c r="U283" s="122">
        <f t="shared" si="187"/>
        <v>86465</v>
      </c>
      <c r="V283" s="122">
        <f t="shared" si="188"/>
        <v>1324</v>
      </c>
      <c r="W283" s="122">
        <f t="shared" si="189"/>
        <v>101538</v>
      </c>
      <c r="X283" s="6"/>
      <c r="Y283" s="168">
        <f t="shared" si="190"/>
        <v>21101</v>
      </c>
      <c r="Z283" s="6"/>
      <c r="AA283" s="19">
        <f t="shared" si="191"/>
        <v>1347098</v>
      </c>
      <c r="AB283" s="19">
        <f t="shared" si="192"/>
        <v>1451660</v>
      </c>
      <c r="AC283" s="15">
        <f t="shared" si="193"/>
        <v>3643.72</v>
      </c>
      <c r="AD283" s="15">
        <f t="shared" si="194"/>
        <v>1451658.05</v>
      </c>
      <c r="AE283" s="25"/>
      <c r="AF283" s="157">
        <f t="shared" si="153"/>
        <v>-1.95</v>
      </c>
    </row>
    <row r="284" spans="1:32" s="4" customFormat="1" x14ac:dyDescent="0.25">
      <c r="A284" s="64" t="s">
        <v>1013</v>
      </c>
      <c r="B284" s="69" t="s">
        <v>894</v>
      </c>
      <c r="C284" s="12" t="s">
        <v>72</v>
      </c>
      <c r="D284" s="13">
        <v>398.4</v>
      </c>
      <c r="E284" s="18"/>
      <c r="F284" s="215">
        <v>51625</v>
      </c>
      <c r="G284" s="215">
        <f t="shared" si="147"/>
        <v>1739</v>
      </c>
      <c r="H284" s="19">
        <f t="shared" si="148"/>
        <v>53364</v>
      </c>
      <c r="I284" s="15"/>
      <c r="J284" s="22"/>
      <c r="K284" s="15"/>
      <c r="L284" s="15"/>
      <c r="M284" s="22"/>
      <c r="N284" s="22"/>
      <c r="O284" s="22">
        <f t="shared" si="149"/>
        <v>723082</v>
      </c>
      <c r="P284" s="19">
        <f t="shared" si="150"/>
        <v>73031</v>
      </c>
      <c r="Q284" s="19">
        <f t="shared" si="151"/>
        <v>796113</v>
      </c>
      <c r="R284" s="6">
        <f t="shared" si="152"/>
        <v>8359</v>
      </c>
      <c r="S284" s="6"/>
      <c r="T284" s="6"/>
      <c r="U284" s="122">
        <f t="shared" si="187"/>
        <v>61195</v>
      </c>
      <c r="V284" s="122">
        <f t="shared" si="188"/>
        <v>937</v>
      </c>
      <c r="W284" s="122">
        <f t="shared" si="189"/>
        <v>71863</v>
      </c>
      <c r="X284" s="6"/>
      <c r="Y284" s="168">
        <f t="shared" si="190"/>
        <v>14934</v>
      </c>
      <c r="Z284" s="6"/>
      <c r="AA284" s="19">
        <f t="shared" si="191"/>
        <v>953401</v>
      </c>
      <c r="AB284" s="19">
        <f t="shared" si="192"/>
        <v>1027404</v>
      </c>
      <c r="AC284" s="15">
        <f t="shared" si="193"/>
        <v>2578.83</v>
      </c>
      <c r="AD284" s="15">
        <f t="shared" si="194"/>
        <v>1027405.87</v>
      </c>
      <c r="AE284" s="25"/>
      <c r="AF284" s="157">
        <f t="shared" si="153"/>
        <v>1.87</v>
      </c>
    </row>
    <row r="285" spans="1:32" s="4" customFormat="1" x14ac:dyDescent="0.25">
      <c r="A285" s="64" t="s">
        <v>1014</v>
      </c>
      <c r="B285" s="69" t="s">
        <v>907</v>
      </c>
      <c r="C285" s="12" t="s">
        <v>72</v>
      </c>
      <c r="D285" s="13">
        <v>16</v>
      </c>
      <c r="E285" s="18"/>
      <c r="F285" s="215">
        <v>1506</v>
      </c>
      <c r="G285" s="215">
        <f t="shared" si="147"/>
        <v>51</v>
      </c>
      <c r="H285" s="19">
        <f t="shared" si="148"/>
        <v>1557</v>
      </c>
      <c r="I285" s="15"/>
      <c r="J285" s="22"/>
      <c r="K285" s="15"/>
      <c r="L285" s="15"/>
      <c r="M285" s="22"/>
      <c r="N285" s="22"/>
      <c r="O285" s="22">
        <f t="shared" si="149"/>
        <v>21097</v>
      </c>
      <c r="P285" s="19">
        <f t="shared" si="150"/>
        <v>2131</v>
      </c>
      <c r="Q285" s="19">
        <f t="shared" si="151"/>
        <v>23228</v>
      </c>
      <c r="R285" s="6">
        <f t="shared" si="152"/>
        <v>244</v>
      </c>
      <c r="S285" s="6"/>
      <c r="T285" s="6"/>
      <c r="U285" s="122">
        <f t="shared" si="187"/>
        <v>1785</v>
      </c>
      <c r="V285" s="122">
        <f t="shared" si="188"/>
        <v>27</v>
      </c>
      <c r="W285" s="122">
        <f t="shared" si="189"/>
        <v>2097</v>
      </c>
      <c r="X285" s="6"/>
      <c r="Y285" s="168">
        <f t="shared" si="190"/>
        <v>436</v>
      </c>
      <c r="Z285" s="6"/>
      <c r="AA285" s="19">
        <f t="shared" si="191"/>
        <v>27817</v>
      </c>
      <c r="AB285" s="19">
        <f t="shared" si="192"/>
        <v>29976</v>
      </c>
      <c r="AC285" s="15">
        <f t="shared" si="193"/>
        <v>1873.5</v>
      </c>
      <c r="AD285" s="15">
        <f t="shared" si="194"/>
        <v>29976</v>
      </c>
      <c r="AE285" s="25"/>
      <c r="AF285" s="157">
        <f t="shared" si="153"/>
        <v>0</v>
      </c>
    </row>
    <row r="286" spans="1:32" s="4" customFormat="1" ht="25.5" x14ac:dyDescent="0.25">
      <c r="A286" s="64" t="s">
        <v>1015</v>
      </c>
      <c r="B286" s="69" t="s">
        <v>908</v>
      </c>
      <c r="C286" s="12" t="s">
        <v>72</v>
      </c>
      <c r="D286" s="13">
        <v>23.1</v>
      </c>
      <c r="E286" s="18"/>
      <c r="F286" s="215">
        <v>6523</v>
      </c>
      <c r="G286" s="215">
        <f t="shared" si="147"/>
        <v>220</v>
      </c>
      <c r="H286" s="19">
        <f t="shared" si="148"/>
        <v>6743</v>
      </c>
      <c r="I286" s="15"/>
      <c r="J286" s="22"/>
      <c r="K286" s="15"/>
      <c r="L286" s="15"/>
      <c r="M286" s="22"/>
      <c r="N286" s="22"/>
      <c r="O286" s="22">
        <f t="shared" si="149"/>
        <v>91368</v>
      </c>
      <c r="P286" s="19">
        <f t="shared" si="150"/>
        <v>9228</v>
      </c>
      <c r="Q286" s="19">
        <f t="shared" si="151"/>
        <v>100596</v>
      </c>
      <c r="R286" s="6">
        <f t="shared" si="152"/>
        <v>1056</v>
      </c>
      <c r="S286" s="6"/>
      <c r="T286" s="6"/>
      <c r="U286" s="122">
        <f t="shared" si="187"/>
        <v>7733</v>
      </c>
      <c r="V286" s="122">
        <f t="shared" si="188"/>
        <v>118</v>
      </c>
      <c r="W286" s="122">
        <f t="shared" si="189"/>
        <v>9080</v>
      </c>
      <c r="X286" s="6"/>
      <c r="Y286" s="168">
        <f t="shared" si="190"/>
        <v>1887</v>
      </c>
      <c r="Z286" s="6"/>
      <c r="AA286" s="19">
        <f t="shared" si="191"/>
        <v>120470</v>
      </c>
      <c r="AB286" s="19">
        <f t="shared" si="192"/>
        <v>129821</v>
      </c>
      <c r="AC286" s="15">
        <f t="shared" si="193"/>
        <v>5619.96</v>
      </c>
      <c r="AD286" s="15">
        <f t="shared" si="194"/>
        <v>129821.08</v>
      </c>
      <c r="AE286" s="25"/>
      <c r="AF286" s="157">
        <f t="shared" ref="AF286" si="195">AD286-AB286</f>
        <v>0.08</v>
      </c>
    </row>
    <row r="287" spans="1:32" s="4" customFormat="1" ht="25.5" x14ac:dyDescent="0.25">
      <c r="A287" s="64" t="s">
        <v>1016</v>
      </c>
      <c r="B287" s="69" t="s">
        <v>967</v>
      </c>
      <c r="C287" s="12" t="s">
        <v>72</v>
      </c>
      <c r="D287" s="13">
        <v>1644</v>
      </c>
      <c r="E287" s="18"/>
      <c r="F287" s="215">
        <v>46579</v>
      </c>
      <c r="G287" s="215">
        <f t="shared" si="147"/>
        <v>1569</v>
      </c>
      <c r="H287" s="19">
        <f t="shared" si="148"/>
        <v>48148</v>
      </c>
      <c r="I287" s="15"/>
      <c r="J287" s="22"/>
      <c r="K287" s="15"/>
      <c r="L287" s="15"/>
      <c r="M287" s="22"/>
      <c r="N287" s="22"/>
      <c r="O287" s="22">
        <f t="shared" si="149"/>
        <v>652405</v>
      </c>
      <c r="P287" s="19">
        <f t="shared" si="150"/>
        <v>65893</v>
      </c>
      <c r="Q287" s="19">
        <f t="shared" si="151"/>
        <v>718298</v>
      </c>
      <c r="R287" s="6">
        <f t="shared" si="152"/>
        <v>7542</v>
      </c>
      <c r="S287" s="6"/>
      <c r="T287" s="6"/>
      <c r="U287" s="122">
        <f t="shared" si="187"/>
        <v>55213</v>
      </c>
      <c r="V287" s="122">
        <f t="shared" si="188"/>
        <v>846</v>
      </c>
      <c r="W287" s="122">
        <f t="shared" si="189"/>
        <v>64839</v>
      </c>
      <c r="X287" s="6"/>
      <c r="Y287" s="168">
        <f t="shared" si="190"/>
        <v>13474</v>
      </c>
      <c r="Z287" s="6"/>
      <c r="AA287" s="19">
        <f t="shared" si="191"/>
        <v>860212</v>
      </c>
      <c r="AB287" s="19">
        <f t="shared" si="192"/>
        <v>926982</v>
      </c>
      <c r="AC287" s="15">
        <f t="shared" si="193"/>
        <v>563.86</v>
      </c>
      <c r="AD287" s="15">
        <f t="shared" si="194"/>
        <v>926985.84</v>
      </c>
      <c r="AE287" s="25"/>
      <c r="AF287" s="157">
        <f t="shared" si="153"/>
        <v>3.84</v>
      </c>
    </row>
    <row r="288" spans="1:32" s="4" customFormat="1" x14ac:dyDescent="0.25">
      <c r="A288" s="23" t="s">
        <v>1017</v>
      </c>
      <c r="B288" s="26" t="s">
        <v>909</v>
      </c>
      <c r="C288" s="21"/>
      <c r="D288" s="212"/>
      <c r="E288" s="213"/>
      <c r="F288" s="216"/>
      <c r="G288" s="215"/>
      <c r="H288" s="19"/>
      <c r="I288" s="32"/>
      <c r="J288" s="22"/>
      <c r="K288" s="15"/>
      <c r="L288" s="15"/>
      <c r="M288" s="31"/>
      <c r="N288" s="31"/>
      <c r="O288" s="22"/>
      <c r="P288" s="19"/>
      <c r="Q288" s="19"/>
      <c r="R288" s="6"/>
      <c r="S288" s="6"/>
      <c r="T288" s="6"/>
      <c r="U288" s="122"/>
      <c r="V288" s="122"/>
      <c r="W288" s="122"/>
      <c r="X288" s="6"/>
      <c r="Y288" s="168"/>
      <c r="Z288" s="6"/>
      <c r="AA288" s="19"/>
      <c r="AB288" s="19"/>
      <c r="AC288" s="15"/>
      <c r="AD288" s="15"/>
      <c r="AE288" s="25"/>
      <c r="AF288" s="157">
        <f t="shared" si="153"/>
        <v>0</v>
      </c>
    </row>
    <row r="289" spans="1:32" s="4" customFormat="1" x14ac:dyDescent="0.25">
      <c r="A289" s="64" t="s">
        <v>1018</v>
      </c>
      <c r="B289" s="69" t="s">
        <v>910</v>
      </c>
      <c r="C289" s="12" t="s">
        <v>70</v>
      </c>
      <c r="D289" s="13">
        <v>7261</v>
      </c>
      <c r="E289" s="18"/>
      <c r="F289" s="215">
        <v>2044966</v>
      </c>
      <c r="G289" s="215">
        <f t="shared" si="147"/>
        <v>68875</v>
      </c>
      <c r="H289" s="19">
        <f t="shared" si="148"/>
        <v>2113841</v>
      </c>
      <c r="I289" s="15"/>
      <c r="J289" s="22"/>
      <c r="K289" s="15"/>
      <c r="L289" s="15"/>
      <c r="M289" s="22"/>
      <c r="N289" s="22"/>
      <c r="O289" s="22">
        <f t="shared" si="149"/>
        <v>28642546</v>
      </c>
      <c r="P289" s="19">
        <f t="shared" si="150"/>
        <v>2892897</v>
      </c>
      <c r="Q289" s="19">
        <f t="shared" si="151"/>
        <v>31535443</v>
      </c>
      <c r="R289" s="6">
        <f t="shared" si="152"/>
        <v>331122</v>
      </c>
      <c r="S289" s="6"/>
      <c r="T289" s="6"/>
      <c r="U289" s="122">
        <f>Q289*$U$6</f>
        <v>2424037</v>
      </c>
      <c r="V289" s="122">
        <f>Q289*$V$6</f>
        <v>37131</v>
      </c>
      <c r="W289" s="122">
        <f>Q289*$W$6</f>
        <v>2846607</v>
      </c>
      <c r="X289" s="6"/>
      <c r="Y289" s="168">
        <f>Q289*$Y$7</f>
        <v>591564</v>
      </c>
      <c r="Z289" s="6"/>
      <c r="AA289" s="19">
        <f>SUM(Q289:Z289)</f>
        <v>37765904</v>
      </c>
      <c r="AB289" s="19">
        <f>$AA289*AB$7</f>
        <v>40697293</v>
      </c>
      <c r="AC289" s="15">
        <f>AB289/D289</f>
        <v>5604.92</v>
      </c>
      <c r="AD289" s="15">
        <f>AC289*D289</f>
        <v>40697324.119999997</v>
      </c>
      <c r="AE289" s="25"/>
      <c r="AF289" s="157">
        <f t="shared" si="153"/>
        <v>31.12</v>
      </c>
    </row>
    <row r="290" spans="1:32" s="4" customFormat="1" x14ac:dyDescent="0.25">
      <c r="A290" s="64" t="s">
        <v>1019</v>
      </c>
      <c r="B290" s="69" t="s">
        <v>911</v>
      </c>
      <c r="C290" s="12" t="s">
        <v>70</v>
      </c>
      <c r="D290" s="13">
        <v>46.5</v>
      </c>
      <c r="E290" s="18"/>
      <c r="F290" s="215">
        <v>81120</v>
      </c>
      <c r="G290" s="215">
        <f t="shared" si="147"/>
        <v>2732</v>
      </c>
      <c r="H290" s="19">
        <f t="shared" si="148"/>
        <v>83852</v>
      </c>
      <c r="I290" s="15"/>
      <c r="J290" s="22"/>
      <c r="K290" s="15"/>
      <c r="L290" s="15"/>
      <c r="M290" s="22"/>
      <c r="N290" s="22"/>
      <c r="O290" s="22">
        <f t="shared" si="149"/>
        <v>1136195</v>
      </c>
      <c r="P290" s="19">
        <f t="shared" si="150"/>
        <v>114756</v>
      </c>
      <c r="Q290" s="19">
        <f t="shared" si="151"/>
        <v>1250951</v>
      </c>
      <c r="R290" s="6">
        <f t="shared" si="152"/>
        <v>13135</v>
      </c>
      <c r="S290" s="6"/>
      <c r="T290" s="6"/>
      <c r="U290" s="122">
        <f>Q290*$U$6</f>
        <v>96157</v>
      </c>
      <c r="V290" s="122">
        <f>Q290*$V$6</f>
        <v>1473</v>
      </c>
      <c r="W290" s="122">
        <f>Q290*$W$6</f>
        <v>112919</v>
      </c>
      <c r="X290" s="6"/>
      <c r="Y290" s="168">
        <f>Q290*$Y$7</f>
        <v>23466</v>
      </c>
      <c r="Z290" s="6"/>
      <c r="AA290" s="19">
        <f>SUM(Q290:Z290)</f>
        <v>1498101</v>
      </c>
      <c r="AB290" s="19">
        <f>$AA290*AB$7</f>
        <v>1614384</v>
      </c>
      <c r="AC290" s="15">
        <f>AB290/D290</f>
        <v>34717.94</v>
      </c>
      <c r="AD290" s="15">
        <f>AC290*D290</f>
        <v>1614384.21</v>
      </c>
      <c r="AE290" s="25"/>
      <c r="AF290" s="157">
        <f t="shared" si="153"/>
        <v>0.21</v>
      </c>
    </row>
    <row r="291" spans="1:32" s="4" customFormat="1" ht="25.5" x14ac:dyDescent="0.25">
      <c r="A291" s="64" t="s">
        <v>1020</v>
      </c>
      <c r="B291" s="69" t="s">
        <v>912</v>
      </c>
      <c r="C291" s="12" t="s">
        <v>72</v>
      </c>
      <c r="D291" s="13">
        <v>1618</v>
      </c>
      <c r="E291" s="18"/>
      <c r="F291" s="215">
        <v>270271</v>
      </c>
      <c r="G291" s="215">
        <f t="shared" si="147"/>
        <v>9103</v>
      </c>
      <c r="H291" s="19">
        <f t="shared" si="148"/>
        <v>279374</v>
      </c>
      <c r="I291" s="15"/>
      <c r="J291" s="22"/>
      <c r="K291" s="15"/>
      <c r="L291" s="15"/>
      <c r="M291" s="22"/>
      <c r="N291" s="22"/>
      <c r="O291" s="22">
        <f t="shared" si="149"/>
        <v>3785518</v>
      </c>
      <c r="P291" s="19">
        <f t="shared" si="150"/>
        <v>382337</v>
      </c>
      <c r="Q291" s="19">
        <f t="shared" si="151"/>
        <v>4167855</v>
      </c>
      <c r="R291" s="6">
        <f t="shared" si="152"/>
        <v>43762</v>
      </c>
      <c r="S291" s="6"/>
      <c r="T291" s="6"/>
      <c r="U291" s="122">
        <f>Q291*$U$6</f>
        <v>320371</v>
      </c>
      <c r="V291" s="122">
        <f>Q291*$V$6</f>
        <v>4907</v>
      </c>
      <c r="W291" s="122">
        <f>Q291*$W$6</f>
        <v>376219</v>
      </c>
      <c r="X291" s="6"/>
      <c r="Y291" s="168">
        <f>Q291*$Y$7</f>
        <v>78184</v>
      </c>
      <c r="Z291" s="6"/>
      <c r="AA291" s="19">
        <f>SUM(Q291:Z291)</f>
        <v>4991298</v>
      </c>
      <c r="AB291" s="19">
        <f>$AA291*AB$7</f>
        <v>5378723</v>
      </c>
      <c r="AC291" s="15">
        <f>AB291/D291</f>
        <v>3324.3</v>
      </c>
      <c r="AD291" s="15">
        <f>AC291*D291</f>
        <v>5378717.4000000004</v>
      </c>
      <c r="AE291" s="25"/>
      <c r="AF291" s="157">
        <f t="shared" si="153"/>
        <v>-5.6</v>
      </c>
    </row>
    <row r="292" spans="1:32" s="4" customFormat="1" ht="25.5" x14ac:dyDescent="0.25">
      <c r="A292" s="64" t="s">
        <v>1021</v>
      </c>
      <c r="B292" s="69" t="s">
        <v>913</v>
      </c>
      <c r="C292" s="12" t="s">
        <v>890</v>
      </c>
      <c r="D292" s="13">
        <v>69</v>
      </c>
      <c r="E292" s="18"/>
      <c r="F292" s="215">
        <v>9828</v>
      </c>
      <c r="G292" s="215">
        <f t="shared" si="147"/>
        <v>331</v>
      </c>
      <c r="H292" s="19">
        <f t="shared" si="148"/>
        <v>10159</v>
      </c>
      <c r="I292" s="15"/>
      <c r="J292" s="22"/>
      <c r="K292" s="15"/>
      <c r="L292" s="15"/>
      <c r="M292" s="22"/>
      <c r="N292" s="22"/>
      <c r="O292" s="22">
        <f t="shared" si="149"/>
        <v>137654</v>
      </c>
      <c r="P292" s="19">
        <f t="shared" si="150"/>
        <v>13903</v>
      </c>
      <c r="Q292" s="19">
        <f t="shared" si="151"/>
        <v>151557</v>
      </c>
      <c r="R292" s="6">
        <f t="shared" si="152"/>
        <v>1591</v>
      </c>
      <c r="S292" s="6"/>
      <c r="T292" s="6"/>
      <c r="U292" s="122">
        <f>Q292*$U$6</f>
        <v>11650</v>
      </c>
      <c r="V292" s="122">
        <f>Q292*$V$6</f>
        <v>178</v>
      </c>
      <c r="W292" s="122">
        <f>Q292*$W$6</f>
        <v>13681</v>
      </c>
      <c r="X292" s="6"/>
      <c r="Y292" s="168">
        <f>Q292*$Y$7</f>
        <v>2843</v>
      </c>
      <c r="Z292" s="6"/>
      <c r="AA292" s="19">
        <f>SUM(Q292:Z292)</f>
        <v>181500</v>
      </c>
      <c r="AB292" s="19">
        <f>$AA292*AB$7</f>
        <v>195588</v>
      </c>
      <c r="AC292" s="15">
        <f>AB292/D292</f>
        <v>2834.61</v>
      </c>
      <c r="AD292" s="15">
        <f>AC292*D292</f>
        <v>195588.09</v>
      </c>
      <c r="AE292" s="25"/>
      <c r="AF292" s="157">
        <f t="shared" si="153"/>
        <v>0.09</v>
      </c>
    </row>
    <row r="293" spans="1:32" s="4" customFormat="1" x14ac:dyDescent="0.25">
      <c r="A293" s="23" t="s">
        <v>1022</v>
      </c>
      <c r="B293" s="26" t="s">
        <v>491</v>
      </c>
      <c r="C293" s="21"/>
      <c r="D293" s="212"/>
      <c r="E293" s="213"/>
      <c r="F293" s="216"/>
      <c r="G293" s="215"/>
      <c r="H293" s="19"/>
      <c r="I293" s="32"/>
      <c r="J293" s="22"/>
      <c r="K293" s="15"/>
      <c r="L293" s="15"/>
      <c r="M293" s="31"/>
      <c r="N293" s="31"/>
      <c r="O293" s="22"/>
      <c r="P293" s="19"/>
      <c r="Q293" s="19"/>
      <c r="R293" s="6"/>
      <c r="S293" s="6"/>
      <c r="T293" s="6"/>
      <c r="U293" s="122"/>
      <c r="V293" s="122"/>
      <c r="W293" s="122"/>
      <c r="X293" s="6"/>
      <c r="Y293" s="168"/>
      <c r="Z293" s="6"/>
      <c r="AA293" s="19"/>
      <c r="AB293" s="19"/>
      <c r="AC293" s="15"/>
      <c r="AD293" s="15"/>
      <c r="AE293" s="25"/>
      <c r="AF293" s="157">
        <f t="shared" si="153"/>
        <v>0</v>
      </c>
    </row>
    <row r="294" spans="1:32" s="4" customFormat="1" x14ac:dyDescent="0.25">
      <c r="A294" s="64" t="s">
        <v>1023</v>
      </c>
      <c r="B294" s="69" t="s">
        <v>915</v>
      </c>
      <c r="C294" s="12" t="s">
        <v>70</v>
      </c>
      <c r="D294" s="13">
        <v>11.92</v>
      </c>
      <c r="E294" s="18"/>
      <c r="F294" s="215">
        <v>44150</v>
      </c>
      <c r="G294" s="215">
        <f t="shared" si="147"/>
        <v>1487</v>
      </c>
      <c r="H294" s="19">
        <f t="shared" si="148"/>
        <v>45637</v>
      </c>
      <c r="I294" s="15"/>
      <c r="J294" s="22"/>
      <c r="K294" s="15"/>
      <c r="L294" s="15"/>
      <c r="M294" s="22"/>
      <c r="N294" s="22"/>
      <c r="O294" s="22">
        <f t="shared" si="149"/>
        <v>618381</v>
      </c>
      <c r="P294" s="19">
        <f t="shared" si="150"/>
        <v>62456</v>
      </c>
      <c r="Q294" s="19">
        <f t="shared" si="151"/>
        <v>680837</v>
      </c>
      <c r="R294" s="6">
        <f t="shared" si="152"/>
        <v>7149</v>
      </c>
      <c r="S294" s="6"/>
      <c r="T294" s="6"/>
      <c r="U294" s="122">
        <f>Q294*$U$6</f>
        <v>52334</v>
      </c>
      <c r="V294" s="122">
        <f>Q294*$V$6</f>
        <v>802</v>
      </c>
      <c r="W294" s="122">
        <f>Q294*$W$6</f>
        <v>61457</v>
      </c>
      <c r="X294" s="6"/>
      <c r="Y294" s="168">
        <f>Q294*$Y$7</f>
        <v>12772</v>
      </c>
      <c r="Z294" s="6"/>
      <c r="AA294" s="19">
        <f>SUM(Q294:Z294)</f>
        <v>815351</v>
      </c>
      <c r="AB294" s="19">
        <f>$AA294*AB$7</f>
        <v>878639</v>
      </c>
      <c r="AC294" s="15">
        <f>AB294/D294</f>
        <v>73711.33</v>
      </c>
      <c r="AD294" s="15">
        <f>AC294*D294</f>
        <v>878639.05</v>
      </c>
      <c r="AE294" s="25"/>
      <c r="AF294" s="157">
        <f t="shared" si="153"/>
        <v>0.05</v>
      </c>
    </row>
    <row r="295" spans="1:32" s="4" customFormat="1" ht="25.5" x14ac:dyDescent="0.25">
      <c r="A295" s="64" t="s">
        <v>1024</v>
      </c>
      <c r="B295" s="69" t="s">
        <v>916</v>
      </c>
      <c r="C295" s="12" t="s">
        <v>311</v>
      </c>
      <c r="D295" s="13">
        <v>0.53</v>
      </c>
      <c r="E295" s="18"/>
      <c r="F295" s="215">
        <v>13113</v>
      </c>
      <c r="G295" s="215">
        <f t="shared" si="147"/>
        <v>442</v>
      </c>
      <c r="H295" s="19">
        <f t="shared" si="148"/>
        <v>13555</v>
      </c>
      <c r="I295" s="15"/>
      <c r="J295" s="22"/>
      <c r="K295" s="15"/>
      <c r="L295" s="15"/>
      <c r="M295" s="22"/>
      <c r="N295" s="22"/>
      <c r="O295" s="22">
        <f t="shared" si="149"/>
        <v>183670</v>
      </c>
      <c r="P295" s="19">
        <f t="shared" si="150"/>
        <v>18551</v>
      </c>
      <c r="Q295" s="19">
        <f t="shared" si="151"/>
        <v>202221</v>
      </c>
      <c r="R295" s="6">
        <f t="shared" si="152"/>
        <v>2123</v>
      </c>
      <c r="S295" s="6"/>
      <c r="T295" s="6"/>
      <c r="U295" s="122">
        <f>Q295*$U$6</f>
        <v>15544</v>
      </c>
      <c r="V295" s="122">
        <f>Q295*$V$6</f>
        <v>238</v>
      </c>
      <c r="W295" s="122">
        <f>Q295*$W$6</f>
        <v>18254</v>
      </c>
      <c r="X295" s="6"/>
      <c r="Y295" s="168">
        <f>Q295*$Y$7</f>
        <v>3793</v>
      </c>
      <c r="Z295" s="6"/>
      <c r="AA295" s="19">
        <f>SUM(Q295:Z295)</f>
        <v>242173</v>
      </c>
      <c r="AB295" s="19">
        <f>$AA295*AB$7</f>
        <v>260970</v>
      </c>
      <c r="AC295" s="15">
        <f>AB295/D295</f>
        <v>492396.23</v>
      </c>
      <c r="AD295" s="15">
        <f>AC295*D295</f>
        <v>260970</v>
      </c>
      <c r="AE295" s="25"/>
      <c r="AF295" s="157">
        <f t="shared" si="153"/>
        <v>0</v>
      </c>
    </row>
    <row r="296" spans="1:32" s="91" customFormat="1" x14ac:dyDescent="0.25">
      <c r="A296" s="87" t="s">
        <v>127</v>
      </c>
      <c r="B296" s="88" t="s">
        <v>6</v>
      </c>
      <c r="C296" s="92"/>
      <c r="D296" s="93"/>
      <c r="E296" s="90"/>
      <c r="F296" s="90"/>
      <c r="G296" s="90"/>
      <c r="H296" s="99">
        <v>25869440</v>
      </c>
      <c r="I296" s="20"/>
      <c r="J296" s="20">
        <f>25869.44*1000</f>
        <v>25869440</v>
      </c>
      <c r="K296" s="20" t="s">
        <v>13</v>
      </c>
      <c r="L296" s="20">
        <f>H296-J296</f>
        <v>0</v>
      </c>
      <c r="M296" s="95">
        <v>235929300</v>
      </c>
      <c r="N296" s="50">
        <f>SUM(O299:O349)-M296</f>
        <v>-19</v>
      </c>
      <c r="O296" s="95"/>
      <c r="P296" s="50"/>
      <c r="Q296" s="50"/>
      <c r="R296" s="50"/>
      <c r="S296" s="30"/>
      <c r="T296" s="30"/>
      <c r="U296" s="126"/>
      <c r="V296" s="126"/>
      <c r="W296" s="50"/>
      <c r="X296" s="30"/>
      <c r="Y296" s="30"/>
      <c r="Z296" s="30"/>
      <c r="AA296" s="50"/>
      <c r="AB296" s="50"/>
      <c r="AC296" s="20"/>
      <c r="AD296" s="20"/>
      <c r="AE296" s="97"/>
      <c r="AF296" s="157">
        <f t="shared" si="69"/>
        <v>0</v>
      </c>
    </row>
    <row r="297" spans="1:32" s="4" customFormat="1" x14ac:dyDescent="0.25">
      <c r="A297" s="23" t="s">
        <v>128</v>
      </c>
      <c r="B297" s="17" t="s">
        <v>7</v>
      </c>
      <c r="C297" s="24"/>
      <c r="D297" s="13"/>
      <c r="E297" s="35"/>
      <c r="F297" s="35"/>
      <c r="G297" s="35"/>
      <c r="H297" s="36"/>
      <c r="I297" s="15"/>
      <c r="J297" s="15"/>
      <c r="K297" s="15"/>
      <c r="L297" s="15"/>
      <c r="M297" s="37"/>
      <c r="N297" s="37"/>
      <c r="O297" s="37"/>
      <c r="P297" s="19"/>
      <c r="Q297" s="19"/>
      <c r="R297" s="6"/>
      <c r="S297" s="6"/>
      <c r="T297" s="6"/>
      <c r="U297" s="126"/>
      <c r="V297" s="126"/>
      <c r="W297" s="6"/>
      <c r="X297" s="6"/>
      <c r="Y297" s="6"/>
      <c r="Z297" s="6"/>
      <c r="AA297" s="19"/>
      <c r="AB297" s="19"/>
      <c r="AC297" s="15"/>
      <c r="AD297" s="15"/>
      <c r="AE297" s="25"/>
      <c r="AF297" s="157">
        <f t="shared" si="69"/>
        <v>0</v>
      </c>
    </row>
    <row r="298" spans="1:32" s="4" customFormat="1" ht="25.5" x14ac:dyDescent="0.25">
      <c r="A298" s="27" t="s">
        <v>129</v>
      </c>
      <c r="B298" s="11" t="s">
        <v>511</v>
      </c>
      <c r="C298" s="24"/>
      <c r="D298" s="38"/>
      <c r="E298" s="39"/>
      <c r="F298" s="222"/>
      <c r="G298" s="222"/>
      <c r="H298" s="40"/>
      <c r="I298" s="15"/>
      <c r="J298" s="15"/>
      <c r="K298" s="15"/>
      <c r="L298" s="15"/>
      <c r="M298" s="37"/>
      <c r="N298" s="37"/>
      <c r="O298" s="37"/>
      <c r="P298" s="19"/>
      <c r="Q298" s="19"/>
      <c r="R298" s="6"/>
      <c r="S298" s="6"/>
      <c r="T298" s="6"/>
      <c r="U298" s="126"/>
      <c r="V298" s="126"/>
      <c r="W298" s="6"/>
      <c r="X298" s="6"/>
      <c r="Y298" s="6"/>
      <c r="Z298" s="6"/>
      <c r="AA298" s="19"/>
      <c r="AB298" s="19"/>
      <c r="AC298" s="15"/>
      <c r="AD298" s="15"/>
      <c r="AE298" s="25"/>
      <c r="AF298" s="157">
        <f t="shared" si="69"/>
        <v>0</v>
      </c>
    </row>
    <row r="299" spans="1:32" s="4" customFormat="1" ht="25.5" x14ac:dyDescent="0.25">
      <c r="A299" s="65" t="s">
        <v>744</v>
      </c>
      <c r="B299" s="55" t="s">
        <v>743</v>
      </c>
      <c r="C299" s="16" t="s">
        <v>72</v>
      </c>
      <c r="D299" s="13">
        <f>379.5</f>
        <v>379.5</v>
      </c>
      <c r="E299" s="14">
        <f t="shared" ref="E299:E307" si="196">H299/D299</f>
        <v>49.45</v>
      </c>
      <c r="F299" s="14"/>
      <c r="G299" s="14"/>
      <c r="H299" s="22">
        <v>18765</v>
      </c>
      <c r="I299" s="15"/>
      <c r="J299" s="15"/>
      <c r="K299" s="15"/>
      <c r="L299" s="15"/>
      <c r="M299" s="22"/>
      <c r="N299" s="22"/>
      <c r="O299" s="22">
        <f>H299*9.12</f>
        <v>171137</v>
      </c>
      <c r="P299" s="19">
        <f>O299*4.1%</f>
        <v>7017</v>
      </c>
      <c r="Q299" s="19">
        <f>SUM(O299:P299)</f>
        <v>178154</v>
      </c>
      <c r="R299" s="6">
        <f>Q299*0.63%</f>
        <v>1122</v>
      </c>
      <c r="S299" s="6"/>
      <c r="T299" s="6"/>
      <c r="U299" s="126">
        <f t="shared" ref="U299" si="197">Q299*$U$4</f>
        <v>869</v>
      </c>
      <c r="V299" s="126">
        <f t="shared" ref="V299" si="198">Q299*$V$4</f>
        <v>199</v>
      </c>
      <c r="W299" s="6"/>
      <c r="X299" s="6"/>
      <c r="Y299" s="6"/>
      <c r="Z299" s="6"/>
      <c r="AA299" s="19">
        <f>SUM(Q299:Z299)</f>
        <v>180344</v>
      </c>
      <c r="AB299" s="19">
        <f>$AA299*AB$7</f>
        <v>194342</v>
      </c>
      <c r="AC299" s="15">
        <f t="shared" ref="AC299:AC307" si="199">AB299/D299</f>
        <v>512.1</v>
      </c>
      <c r="AD299" s="15">
        <f t="shared" ref="AD299:AD307" si="200">AC299*D299</f>
        <v>194341.95</v>
      </c>
      <c r="AE299" s="25"/>
      <c r="AF299" s="157">
        <f t="shared" si="69"/>
        <v>-0.05</v>
      </c>
    </row>
    <row r="300" spans="1:32" s="4" customFormat="1" x14ac:dyDescent="0.25">
      <c r="A300" s="65" t="s">
        <v>131</v>
      </c>
      <c r="B300" s="55" t="s">
        <v>496</v>
      </c>
      <c r="C300" s="16" t="s">
        <v>468</v>
      </c>
      <c r="D300" s="13">
        <v>867.1</v>
      </c>
      <c r="E300" s="14">
        <f t="shared" si="196"/>
        <v>9601.23</v>
      </c>
      <c r="F300" s="14"/>
      <c r="G300" s="14"/>
      <c r="H300" s="22">
        <v>8325227</v>
      </c>
      <c r="I300" s="15"/>
      <c r="J300" s="15"/>
      <c r="K300" s="15"/>
      <c r="L300" s="15"/>
      <c r="M300" s="22"/>
      <c r="N300" s="22"/>
      <c r="O300" s="22">
        <f>H300*9.12</f>
        <v>75926070</v>
      </c>
      <c r="P300" s="19">
        <f>O300*4.1%</f>
        <v>3112969</v>
      </c>
      <c r="Q300" s="19">
        <f>SUM(O300:P300)</f>
        <v>79039039</v>
      </c>
      <c r="R300" s="6">
        <f>Q300*0.63%</f>
        <v>497946</v>
      </c>
      <c r="S300" s="6"/>
      <c r="T300" s="6"/>
      <c r="U300" s="126">
        <f t="shared" ref="U300" si="201">Q300*$U$4</f>
        <v>385508</v>
      </c>
      <c r="V300" s="126">
        <f t="shared" ref="V300" si="202">Q300*$V$4</f>
        <v>88480</v>
      </c>
      <c r="W300" s="6"/>
      <c r="X300" s="6"/>
      <c r="Y300" s="6"/>
      <c r="Z300" s="6"/>
      <c r="AA300" s="19">
        <f>SUM(Q300:Z300)</f>
        <v>80010973</v>
      </c>
      <c r="AB300" s="19">
        <f>$AA300*AB$7</f>
        <v>86221425</v>
      </c>
      <c r="AC300" s="15">
        <f t="shared" si="199"/>
        <v>99436.54</v>
      </c>
      <c r="AD300" s="15">
        <f t="shared" si="200"/>
        <v>86221423.829999998</v>
      </c>
      <c r="AE300" s="25"/>
      <c r="AF300" s="157">
        <f t="shared" si="69"/>
        <v>-1.17</v>
      </c>
    </row>
    <row r="301" spans="1:32" s="4" customFormat="1" x14ac:dyDescent="0.25">
      <c r="A301" s="65" t="s">
        <v>737</v>
      </c>
      <c r="B301" s="55" t="s">
        <v>132</v>
      </c>
      <c r="C301" s="16" t="s">
        <v>70</v>
      </c>
      <c r="D301" s="13">
        <v>44.4</v>
      </c>
      <c r="E301" s="14">
        <f t="shared" si="196"/>
        <v>5445.54</v>
      </c>
      <c r="F301" s="14"/>
      <c r="G301" s="14"/>
      <c r="H301" s="22">
        <v>241782</v>
      </c>
      <c r="I301" s="15"/>
      <c r="J301" s="15"/>
      <c r="K301" s="15"/>
      <c r="L301" s="15"/>
      <c r="M301" s="22"/>
      <c r="N301" s="22"/>
      <c r="O301" s="22">
        <f t="shared" ref="O301:O349" si="203">H301*9.12</f>
        <v>2205052</v>
      </c>
      <c r="P301" s="19">
        <f t="shared" ref="P301:P349" si="204">O301*4.1%</f>
        <v>90407</v>
      </c>
      <c r="Q301" s="19">
        <f t="shared" ref="Q301:Q349" si="205">SUM(O301:P301)</f>
        <v>2295459</v>
      </c>
      <c r="R301" s="6">
        <f t="shared" ref="R301:R349" si="206">Q301*0.63%</f>
        <v>14461</v>
      </c>
      <c r="S301" s="6"/>
      <c r="T301" s="6"/>
      <c r="U301" s="126">
        <f t="shared" ref="U301:U349" si="207">Q301*$U$4</f>
        <v>11196</v>
      </c>
      <c r="V301" s="126">
        <f t="shared" ref="V301:V349" si="208">Q301*$V$4</f>
        <v>2570</v>
      </c>
      <c r="W301" s="6"/>
      <c r="X301" s="6"/>
      <c r="Y301" s="6"/>
      <c r="Z301" s="6"/>
      <c r="AA301" s="19">
        <f t="shared" ref="AA301:AA349" si="209">SUM(Q301:Z301)</f>
        <v>2323686</v>
      </c>
      <c r="AB301" s="19">
        <f t="shared" ref="AB301:AB349" si="210">$AA301*AB$7</f>
        <v>2504051</v>
      </c>
      <c r="AC301" s="15">
        <f t="shared" si="199"/>
        <v>56397.55</v>
      </c>
      <c r="AD301" s="15">
        <f t="shared" si="200"/>
        <v>2504051.2200000002</v>
      </c>
      <c r="AE301" s="25"/>
      <c r="AF301" s="157">
        <f t="shared" si="69"/>
        <v>0.22</v>
      </c>
    </row>
    <row r="302" spans="1:32" s="4" customFormat="1" x14ac:dyDescent="0.25">
      <c r="A302" s="65" t="s">
        <v>738</v>
      </c>
      <c r="B302" s="55" t="s">
        <v>434</v>
      </c>
      <c r="C302" s="16" t="s">
        <v>72</v>
      </c>
      <c r="D302" s="13">
        <f>523.2</f>
        <v>523.20000000000005</v>
      </c>
      <c r="E302" s="14">
        <f t="shared" si="196"/>
        <v>69.430000000000007</v>
      </c>
      <c r="F302" s="14"/>
      <c r="G302" s="14"/>
      <c r="H302" s="22">
        <v>36326</v>
      </c>
      <c r="I302" s="15"/>
      <c r="J302" s="15"/>
      <c r="K302" s="15"/>
      <c r="L302" s="15"/>
      <c r="M302" s="22"/>
      <c r="N302" s="22"/>
      <c r="O302" s="22">
        <f t="shared" si="203"/>
        <v>331293</v>
      </c>
      <c r="P302" s="19">
        <f t="shared" si="204"/>
        <v>13583</v>
      </c>
      <c r="Q302" s="19">
        <f t="shared" si="205"/>
        <v>344876</v>
      </c>
      <c r="R302" s="6">
        <f t="shared" si="206"/>
        <v>2173</v>
      </c>
      <c r="S302" s="6"/>
      <c r="T302" s="6"/>
      <c r="U302" s="126">
        <f t="shared" si="207"/>
        <v>1682</v>
      </c>
      <c r="V302" s="126">
        <f t="shared" si="208"/>
        <v>386</v>
      </c>
      <c r="W302" s="6"/>
      <c r="X302" s="6"/>
      <c r="Y302" s="6"/>
      <c r="Z302" s="6"/>
      <c r="AA302" s="19">
        <f t="shared" si="209"/>
        <v>349117</v>
      </c>
      <c r="AB302" s="19">
        <f t="shared" si="210"/>
        <v>376215</v>
      </c>
      <c r="AC302" s="15">
        <f t="shared" si="199"/>
        <v>719.07</v>
      </c>
      <c r="AD302" s="15">
        <f t="shared" si="200"/>
        <v>376217.42</v>
      </c>
      <c r="AE302" s="25"/>
      <c r="AF302" s="157">
        <f t="shared" si="69"/>
        <v>2.42</v>
      </c>
    </row>
    <row r="303" spans="1:32" s="4" customFormat="1" ht="25.5" x14ac:dyDescent="0.25">
      <c r="A303" s="65" t="s">
        <v>739</v>
      </c>
      <c r="B303" s="55" t="s">
        <v>501</v>
      </c>
      <c r="C303" s="16" t="s">
        <v>72</v>
      </c>
      <c r="D303" s="13">
        <f>300+212+116</f>
        <v>628</v>
      </c>
      <c r="E303" s="14">
        <f t="shared" si="196"/>
        <v>171.4</v>
      </c>
      <c r="F303" s="14"/>
      <c r="G303" s="14"/>
      <c r="H303" s="22">
        <v>107641</v>
      </c>
      <c r="I303" s="15"/>
      <c r="J303" s="15"/>
      <c r="K303" s="15"/>
      <c r="L303" s="15"/>
      <c r="M303" s="22"/>
      <c r="N303" s="22"/>
      <c r="O303" s="22">
        <f t="shared" si="203"/>
        <v>981686</v>
      </c>
      <c r="P303" s="19">
        <f t="shared" si="204"/>
        <v>40249</v>
      </c>
      <c r="Q303" s="19">
        <f t="shared" si="205"/>
        <v>1021935</v>
      </c>
      <c r="R303" s="6">
        <f t="shared" si="206"/>
        <v>6438</v>
      </c>
      <c r="S303" s="6"/>
      <c r="T303" s="6"/>
      <c r="U303" s="126">
        <f t="shared" si="207"/>
        <v>4984</v>
      </c>
      <c r="V303" s="126">
        <f t="shared" si="208"/>
        <v>1144</v>
      </c>
      <c r="W303" s="6"/>
      <c r="X303" s="6"/>
      <c r="Y303" s="6"/>
      <c r="Z303" s="6"/>
      <c r="AA303" s="19">
        <f t="shared" si="209"/>
        <v>1034501</v>
      </c>
      <c r="AB303" s="19">
        <f t="shared" si="210"/>
        <v>1114799</v>
      </c>
      <c r="AC303" s="15">
        <f t="shared" si="199"/>
        <v>1775.16</v>
      </c>
      <c r="AD303" s="15">
        <f t="shared" si="200"/>
        <v>1114800.48</v>
      </c>
      <c r="AE303" s="25"/>
      <c r="AF303" s="157">
        <f t="shared" si="69"/>
        <v>1.48</v>
      </c>
    </row>
    <row r="304" spans="1:32" s="4" customFormat="1" ht="25.5" x14ac:dyDescent="0.25">
      <c r="A304" s="65" t="s">
        <v>740</v>
      </c>
      <c r="B304" s="55" t="s">
        <v>503</v>
      </c>
      <c r="C304" s="16" t="s">
        <v>72</v>
      </c>
      <c r="D304" s="13">
        <f>282.6</f>
        <v>282.60000000000002</v>
      </c>
      <c r="E304" s="14">
        <f t="shared" si="196"/>
        <v>184.76</v>
      </c>
      <c r="F304" s="14"/>
      <c r="G304" s="14"/>
      <c r="H304" s="22">
        <v>52212</v>
      </c>
      <c r="I304" s="15"/>
      <c r="J304" s="15"/>
      <c r="K304" s="15"/>
      <c r="L304" s="15"/>
      <c r="M304" s="22"/>
      <c r="N304" s="22"/>
      <c r="O304" s="22">
        <f t="shared" si="203"/>
        <v>476173</v>
      </c>
      <c r="P304" s="19">
        <f t="shared" si="204"/>
        <v>19523</v>
      </c>
      <c r="Q304" s="19">
        <f t="shared" si="205"/>
        <v>495696</v>
      </c>
      <c r="R304" s="6">
        <f t="shared" si="206"/>
        <v>3123</v>
      </c>
      <c r="S304" s="6"/>
      <c r="T304" s="6"/>
      <c r="U304" s="126">
        <f t="shared" si="207"/>
        <v>2418</v>
      </c>
      <c r="V304" s="126">
        <f t="shared" si="208"/>
        <v>555</v>
      </c>
      <c r="W304" s="6"/>
      <c r="X304" s="6"/>
      <c r="Y304" s="6"/>
      <c r="Z304" s="6"/>
      <c r="AA304" s="19">
        <f t="shared" si="209"/>
        <v>501792</v>
      </c>
      <c r="AB304" s="19">
        <f t="shared" si="210"/>
        <v>540741</v>
      </c>
      <c r="AC304" s="15">
        <f t="shared" si="199"/>
        <v>1913.45</v>
      </c>
      <c r="AD304" s="15">
        <f t="shared" si="200"/>
        <v>540740.97</v>
      </c>
      <c r="AE304" s="25"/>
      <c r="AF304" s="157">
        <f t="shared" si="69"/>
        <v>-0.03</v>
      </c>
    </row>
    <row r="305" spans="1:32" s="4" customFormat="1" x14ac:dyDescent="0.25">
      <c r="A305" s="65" t="s">
        <v>741</v>
      </c>
      <c r="B305" s="55" t="s">
        <v>505</v>
      </c>
      <c r="C305" s="16" t="s">
        <v>70</v>
      </c>
      <c r="D305" s="13">
        <f>4+1.8</f>
        <v>5.8</v>
      </c>
      <c r="E305" s="14">
        <f t="shared" si="196"/>
        <v>1154.48</v>
      </c>
      <c r="F305" s="14"/>
      <c r="G305" s="14"/>
      <c r="H305" s="22">
        <v>6696</v>
      </c>
      <c r="I305" s="15"/>
      <c r="J305" s="15"/>
      <c r="K305" s="15"/>
      <c r="L305" s="15"/>
      <c r="M305" s="22"/>
      <c r="N305" s="22"/>
      <c r="O305" s="22">
        <f t="shared" si="203"/>
        <v>61068</v>
      </c>
      <c r="P305" s="19">
        <f t="shared" si="204"/>
        <v>2504</v>
      </c>
      <c r="Q305" s="19">
        <f t="shared" si="205"/>
        <v>63572</v>
      </c>
      <c r="R305" s="6">
        <f t="shared" si="206"/>
        <v>401</v>
      </c>
      <c r="S305" s="6"/>
      <c r="T305" s="6"/>
      <c r="U305" s="126">
        <f t="shared" si="207"/>
        <v>310</v>
      </c>
      <c r="V305" s="126">
        <f t="shared" si="208"/>
        <v>71</v>
      </c>
      <c r="W305" s="6"/>
      <c r="X305" s="6"/>
      <c r="Y305" s="6"/>
      <c r="Z305" s="6"/>
      <c r="AA305" s="19">
        <f t="shared" si="209"/>
        <v>64354</v>
      </c>
      <c r="AB305" s="19">
        <f t="shared" si="210"/>
        <v>69349</v>
      </c>
      <c r="AC305" s="15">
        <f t="shared" si="199"/>
        <v>11956.72</v>
      </c>
      <c r="AD305" s="15">
        <f t="shared" si="200"/>
        <v>69348.98</v>
      </c>
      <c r="AE305" s="25"/>
      <c r="AF305" s="157">
        <f t="shared" si="69"/>
        <v>-0.02</v>
      </c>
    </row>
    <row r="306" spans="1:32" s="4" customFormat="1" x14ac:dyDescent="0.25">
      <c r="A306" s="65" t="s">
        <v>742</v>
      </c>
      <c r="B306" s="55" t="s">
        <v>507</v>
      </c>
      <c r="C306" s="16" t="s">
        <v>72</v>
      </c>
      <c r="D306" s="13">
        <f>442.8</f>
        <v>442.8</v>
      </c>
      <c r="E306" s="14">
        <f t="shared" si="196"/>
        <v>175.54</v>
      </c>
      <c r="F306" s="14"/>
      <c r="G306" s="14"/>
      <c r="H306" s="22">
        <v>77729</v>
      </c>
      <c r="I306" s="15"/>
      <c r="J306" s="15"/>
      <c r="K306" s="15"/>
      <c r="L306" s="15"/>
      <c r="M306" s="22"/>
      <c r="N306" s="22"/>
      <c r="O306" s="22">
        <f t="shared" si="203"/>
        <v>708888</v>
      </c>
      <c r="P306" s="19">
        <f t="shared" si="204"/>
        <v>29064</v>
      </c>
      <c r="Q306" s="19">
        <f t="shared" si="205"/>
        <v>737952</v>
      </c>
      <c r="R306" s="6">
        <f t="shared" si="206"/>
        <v>4649</v>
      </c>
      <c r="S306" s="6"/>
      <c r="T306" s="6"/>
      <c r="U306" s="126">
        <f t="shared" si="207"/>
        <v>3599</v>
      </c>
      <c r="V306" s="126">
        <f t="shared" si="208"/>
        <v>826</v>
      </c>
      <c r="W306" s="6"/>
      <c r="X306" s="6"/>
      <c r="Y306" s="6"/>
      <c r="Z306" s="6"/>
      <c r="AA306" s="19">
        <f t="shared" si="209"/>
        <v>747026</v>
      </c>
      <c r="AB306" s="19">
        <f t="shared" si="210"/>
        <v>805010</v>
      </c>
      <c r="AC306" s="15">
        <f t="shared" si="199"/>
        <v>1818</v>
      </c>
      <c r="AD306" s="15">
        <f t="shared" si="200"/>
        <v>805010.4</v>
      </c>
      <c r="AE306" s="25"/>
      <c r="AF306" s="157">
        <f t="shared" si="69"/>
        <v>0.4</v>
      </c>
    </row>
    <row r="307" spans="1:32" s="4" customFormat="1" x14ac:dyDescent="0.25">
      <c r="A307" s="65" t="s">
        <v>745</v>
      </c>
      <c r="B307" s="55" t="s">
        <v>509</v>
      </c>
      <c r="C307" s="16" t="s">
        <v>70</v>
      </c>
      <c r="D307" s="13">
        <f>66.6+390</f>
        <v>456.6</v>
      </c>
      <c r="E307" s="14">
        <f t="shared" si="196"/>
        <v>290.02999999999997</v>
      </c>
      <c r="F307" s="14"/>
      <c r="G307" s="14"/>
      <c r="H307" s="22">
        <v>132429</v>
      </c>
      <c r="I307" s="15"/>
      <c r="J307" s="15"/>
      <c r="K307" s="15"/>
      <c r="L307" s="15"/>
      <c r="M307" s="22"/>
      <c r="N307" s="22"/>
      <c r="O307" s="22">
        <f t="shared" si="203"/>
        <v>1207752</v>
      </c>
      <c r="P307" s="19">
        <f t="shared" si="204"/>
        <v>49518</v>
      </c>
      <c r="Q307" s="19">
        <f t="shared" si="205"/>
        <v>1257270</v>
      </c>
      <c r="R307" s="6">
        <f t="shared" si="206"/>
        <v>7921</v>
      </c>
      <c r="S307" s="6"/>
      <c r="T307" s="6"/>
      <c r="U307" s="126">
        <f t="shared" si="207"/>
        <v>6132</v>
      </c>
      <c r="V307" s="126">
        <f t="shared" si="208"/>
        <v>1407</v>
      </c>
      <c r="W307" s="6"/>
      <c r="X307" s="6"/>
      <c r="Y307" s="6"/>
      <c r="Z307" s="6"/>
      <c r="AA307" s="19">
        <f t="shared" si="209"/>
        <v>1272730</v>
      </c>
      <c r="AB307" s="19">
        <f t="shared" si="210"/>
        <v>1371519</v>
      </c>
      <c r="AC307" s="15">
        <f t="shared" si="199"/>
        <v>3003.76</v>
      </c>
      <c r="AD307" s="15">
        <f t="shared" si="200"/>
        <v>1371516.82</v>
      </c>
      <c r="AE307" s="25"/>
      <c r="AF307" s="157">
        <f t="shared" si="69"/>
        <v>-2.1800000000000002</v>
      </c>
    </row>
    <row r="308" spans="1:32" s="4" customFormat="1" ht="25.5" x14ac:dyDescent="0.25">
      <c r="A308" s="27" t="s">
        <v>762</v>
      </c>
      <c r="B308" s="11" t="s">
        <v>656</v>
      </c>
      <c r="C308" s="24"/>
      <c r="D308" s="38"/>
      <c r="E308" s="39"/>
      <c r="F308" s="222"/>
      <c r="G308" s="222"/>
      <c r="H308" s="40"/>
      <c r="I308" s="15"/>
      <c r="J308" s="15"/>
      <c r="K308" s="15"/>
      <c r="L308" s="15"/>
      <c r="M308" s="37"/>
      <c r="N308" s="37"/>
      <c r="O308" s="22"/>
      <c r="P308" s="19"/>
      <c r="Q308" s="19"/>
      <c r="R308" s="6"/>
      <c r="S308" s="6"/>
      <c r="T308" s="6"/>
      <c r="U308" s="126"/>
      <c r="V308" s="126"/>
      <c r="W308" s="6"/>
      <c r="X308" s="6"/>
      <c r="Y308" s="6"/>
      <c r="Z308" s="6"/>
      <c r="AA308" s="19"/>
      <c r="AB308" s="19"/>
      <c r="AC308" s="15"/>
      <c r="AD308" s="15"/>
      <c r="AE308" s="25"/>
      <c r="AF308" s="157">
        <f t="shared" si="69"/>
        <v>0</v>
      </c>
    </row>
    <row r="309" spans="1:32" s="4" customFormat="1" ht="25.5" x14ac:dyDescent="0.25">
      <c r="A309" s="65" t="s">
        <v>763</v>
      </c>
      <c r="B309" s="55" t="s">
        <v>743</v>
      </c>
      <c r="C309" s="16" t="s">
        <v>72</v>
      </c>
      <c r="D309" s="13">
        <f>56</f>
        <v>56</v>
      </c>
      <c r="E309" s="14">
        <f t="shared" ref="E309:E316" si="211">H309/D309</f>
        <v>7.41</v>
      </c>
      <c r="F309" s="14"/>
      <c r="G309" s="14"/>
      <c r="H309" s="22">
        <v>415</v>
      </c>
      <c r="I309" s="15"/>
      <c r="J309" s="15"/>
      <c r="K309" s="15"/>
      <c r="L309" s="15"/>
      <c r="M309" s="22"/>
      <c r="N309" s="22"/>
      <c r="O309" s="22">
        <f t="shared" si="203"/>
        <v>3785</v>
      </c>
      <c r="P309" s="19">
        <f t="shared" si="204"/>
        <v>155</v>
      </c>
      <c r="Q309" s="19">
        <f t="shared" si="205"/>
        <v>3940</v>
      </c>
      <c r="R309" s="6">
        <f t="shared" si="206"/>
        <v>25</v>
      </c>
      <c r="S309" s="6"/>
      <c r="T309" s="6"/>
      <c r="U309" s="126">
        <f t="shared" si="207"/>
        <v>19</v>
      </c>
      <c r="V309" s="126">
        <f t="shared" si="208"/>
        <v>4</v>
      </c>
      <c r="W309" s="6"/>
      <c r="X309" s="6"/>
      <c r="Y309" s="6"/>
      <c r="Z309" s="6"/>
      <c r="AA309" s="19">
        <f t="shared" si="209"/>
        <v>3988</v>
      </c>
      <c r="AB309" s="19">
        <f t="shared" si="210"/>
        <v>4298</v>
      </c>
      <c r="AC309" s="15">
        <f t="shared" ref="AC309:AC316" si="212">AB309/D309</f>
        <v>76.75</v>
      </c>
      <c r="AD309" s="15">
        <f t="shared" ref="AD309:AD316" si="213">AC309*D309</f>
        <v>4298</v>
      </c>
      <c r="AE309" s="25"/>
      <c r="AF309" s="157">
        <f t="shared" si="69"/>
        <v>0</v>
      </c>
    </row>
    <row r="310" spans="1:32" s="4" customFormat="1" x14ac:dyDescent="0.25">
      <c r="A310" s="65" t="s">
        <v>764</v>
      </c>
      <c r="B310" s="55" t="s">
        <v>496</v>
      </c>
      <c r="C310" s="16" t="s">
        <v>468</v>
      </c>
      <c r="D310" s="138">
        <v>125.38500000000001</v>
      </c>
      <c r="E310" s="14">
        <f t="shared" si="211"/>
        <v>13023.28</v>
      </c>
      <c r="F310" s="14"/>
      <c r="G310" s="14"/>
      <c r="H310" s="22">
        <v>1632924</v>
      </c>
      <c r="I310" s="15"/>
      <c r="J310" s="15"/>
      <c r="K310" s="15"/>
      <c r="L310" s="15"/>
      <c r="M310" s="22"/>
      <c r="N310" s="22"/>
      <c r="O310" s="22">
        <f t="shared" si="203"/>
        <v>14892267</v>
      </c>
      <c r="P310" s="19">
        <f t="shared" si="204"/>
        <v>610583</v>
      </c>
      <c r="Q310" s="19">
        <f t="shared" si="205"/>
        <v>15502850</v>
      </c>
      <c r="R310" s="6">
        <f t="shared" si="206"/>
        <v>97668</v>
      </c>
      <c r="S310" s="6"/>
      <c r="T310" s="6"/>
      <c r="U310" s="126">
        <f t="shared" si="207"/>
        <v>75614</v>
      </c>
      <c r="V310" s="126">
        <f t="shared" si="208"/>
        <v>17355</v>
      </c>
      <c r="W310" s="6"/>
      <c r="X310" s="6"/>
      <c r="Y310" s="6"/>
      <c r="Z310" s="6"/>
      <c r="AA310" s="19">
        <f t="shared" si="209"/>
        <v>15693487</v>
      </c>
      <c r="AB310" s="19">
        <f t="shared" si="210"/>
        <v>16911615</v>
      </c>
      <c r="AC310" s="15">
        <f t="shared" si="212"/>
        <v>134877.5</v>
      </c>
      <c r="AD310" s="15">
        <f t="shared" si="213"/>
        <v>16911615.34</v>
      </c>
      <c r="AE310" s="25"/>
      <c r="AF310" s="157">
        <f t="shared" si="69"/>
        <v>0.34</v>
      </c>
    </row>
    <row r="311" spans="1:32" s="4" customFormat="1" x14ac:dyDescent="0.25">
      <c r="A311" s="65" t="s">
        <v>765</v>
      </c>
      <c r="B311" s="55" t="s">
        <v>132</v>
      </c>
      <c r="C311" s="16" t="s">
        <v>70</v>
      </c>
      <c r="D311" s="13">
        <v>9</v>
      </c>
      <c r="E311" s="14">
        <f t="shared" si="211"/>
        <v>5445.56</v>
      </c>
      <c r="F311" s="14"/>
      <c r="G311" s="14"/>
      <c r="H311" s="22">
        <v>49010</v>
      </c>
      <c r="I311" s="15"/>
      <c r="J311" s="15"/>
      <c r="K311" s="15"/>
      <c r="L311" s="15"/>
      <c r="M311" s="22"/>
      <c r="N311" s="22"/>
      <c r="O311" s="22">
        <f t="shared" si="203"/>
        <v>446971</v>
      </c>
      <c r="P311" s="19">
        <f t="shared" si="204"/>
        <v>18326</v>
      </c>
      <c r="Q311" s="19">
        <f t="shared" si="205"/>
        <v>465297</v>
      </c>
      <c r="R311" s="6">
        <f t="shared" si="206"/>
        <v>2931</v>
      </c>
      <c r="S311" s="6"/>
      <c r="T311" s="6"/>
      <c r="U311" s="126">
        <f t="shared" si="207"/>
        <v>2269</v>
      </c>
      <c r="V311" s="126">
        <f t="shared" si="208"/>
        <v>521</v>
      </c>
      <c r="W311" s="6"/>
      <c r="X311" s="6"/>
      <c r="Y311" s="6"/>
      <c r="Z311" s="6"/>
      <c r="AA311" s="19">
        <f t="shared" si="209"/>
        <v>471018</v>
      </c>
      <c r="AB311" s="19">
        <f t="shared" si="210"/>
        <v>507578</v>
      </c>
      <c r="AC311" s="15">
        <f t="shared" si="212"/>
        <v>56397.56</v>
      </c>
      <c r="AD311" s="15">
        <f t="shared" si="213"/>
        <v>507578.04</v>
      </c>
      <c r="AE311" s="25"/>
      <c r="AF311" s="157">
        <f t="shared" si="69"/>
        <v>0.04</v>
      </c>
    </row>
    <row r="312" spans="1:32" s="4" customFormat="1" ht="25.5" x14ac:dyDescent="0.25">
      <c r="A312" s="65" t="s">
        <v>766</v>
      </c>
      <c r="B312" s="55" t="s">
        <v>501</v>
      </c>
      <c r="C312" s="16" t="s">
        <v>72</v>
      </c>
      <c r="D312" s="13">
        <f>57.9+44.1+25.8</f>
        <v>127.8</v>
      </c>
      <c r="E312" s="14">
        <f t="shared" si="211"/>
        <v>167.09</v>
      </c>
      <c r="F312" s="14"/>
      <c r="G312" s="14"/>
      <c r="H312" s="22">
        <v>21354</v>
      </c>
      <c r="I312" s="15"/>
      <c r="J312" s="15"/>
      <c r="K312" s="15"/>
      <c r="L312" s="15"/>
      <c r="M312" s="22"/>
      <c r="N312" s="22"/>
      <c r="O312" s="22">
        <f t="shared" si="203"/>
        <v>194748</v>
      </c>
      <c r="P312" s="19">
        <f t="shared" si="204"/>
        <v>7985</v>
      </c>
      <c r="Q312" s="19">
        <f t="shared" si="205"/>
        <v>202733</v>
      </c>
      <c r="R312" s="6">
        <f t="shared" si="206"/>
        <v>1277</v>
      </c>
      <c r="S312" s="6"/>
      <c r="T312" s="6"/>
      <c r="U312" s="126">
        <f t="shared" si="207"/>
        <v>989</v>
      </c>
      <c r="V312" s="126">
        <f t="shared" si="208"/>
        <v>227</v>
      </c>
      <c r="W312" s="6"/>
      <c r="X312" s="6"/>
      <c r="Y312" s="6"/>
      <c r="Z312" s="6"/>
      <c r="AA312" s="19">
        <f t="shared" si="209"/>
        <v>205226</v>
      </c>
      <c r="AB312" s="19">
        <f t="shared" si="210"/>
        <v>221156</v>
      </c>
      <c r="AC312" s="15">
        <f t="shared" si="212"/>
        <v>1730.49</v>
      </c>
      <c r="AD312" s="15">
        <f t="shared" si="213"/>
        <v>221156.62</v>
      </c>
      <c r="AE312" s="25"/>
      <c r="AF312" s="157">
        <f t="shared" si="69"/>
        <v>0.62</v>
      </c>
    </row>
    <row r="313" spans="1:32" s="4" customFormat="1" ht="25.5" x14ac:dyDescent="0.25">
      <c r="A313" s="65" t="s">
        <v>767</v>
      </c>
      <c r="B313" s="55" t="s">
        <v>503</v>
      </c>
      <c r="C313" s="16" t="s">
        <v>72</v>
      </c>
      <c r="D313" s="13">
        <f>51</f>
        <v>51</v>
      </c>
      <c r="E313" s="14">
        <f t="shared" si="211"/>
        <v>183.88</v>
      </c>
      <c r="F313" s="14"/>
      <c r="G313" s="14"/>
      <c r="H313" s="22">
        <v>9378</v>
      </c>
      <c r="I313" s="15"/>
      <c r="J313" s="15"/>
      <c r="K313" s="15"/>
      <c r="L313" s="15"/>
      <c r="M313" s="22"/>
      <c r="N313" s="22"/>
      <c r="O313" s="22">
        <f t="shared" si="203"/>
        <v>85527</v>
      </c>
      <c r="P313" s="19">
        <f t="shared" si="204"/>
        <v>3507</v>
      </c>
      <c r="Q313" s="19">
        <f t="shared" si="205"/>
        <v>89034</v>
      </c>
      <c r="R313" s="6">
        <f t="shared" si="206"/>
        <v>561</v>
      </c>
      <c r="S313" s="6"/>
      <c r="T313" s="6"/>
      <c r="U313" s="126">
        <f t="shared" si="207"/>
        <v>434</v>
      </c>
      <c r="V313" s="126">
        <f t="shared" si="208"/>
        <v>100</v>
      </c>
      <c r="W313" s="6"/>
      <c r="X313" s="6"/>
      <c r="Y313" s="6"/>
      <c r="Z313" s="6"/>
      <c r="AA313" s="19">
        <f t="shared" si="209"/>
        <v>90129</v>
      </c>
      <c r="AB313" s="19">
        <f t="shared" si="210"/>
        <v>97125</v>
      </c>
      <c r="AC313" s="15">
        <f t="shared" si="212"/>
        <v>1904.41</v>
      </c>
      <c r="AD313" s="15">
        <f t="shared" si="213"/>
        <v>97124.91</v>
      </c>
      <c r="AE313" s="25"/>
      <c r="AF313" s="157">
        <f t="shared" si="69"/>
        <v>-0.09</v>
      </c>
    </row>
    <row r="314" spans="1:32" s="4" customFormat="1" x14ac:dyDescent="0.25">
      <c r="A314" s="65" t="s">
        <v>768</v>
      </c>
      <c r="B314" s="55" t="s">
        <v>505</v>
      </c>
      <c r="C314" s="16" t="s">
        <v>70</v>
      </c>
      <c r="D314" s="13">
        <f>0.6+0.3</f>
        <v>0.9</v>
      </c>
      <c r="E314" s="14">
        <f t="shared" si="211"/>
        <v>1154.44</v>
      </c>
      <c r="F314" s="14"/>
      <c r="G314" s="14"/>
      <c r="H314" s="22">
        <v>1039</v>
      </c>
      <c r="I314" s="15"/>
      <c r="J314" s="15"/>
      <c r="K314" s="15"/>
      <c r="L314" s="15"/>
      <c r="M314" s="22"/>
      <c r="N314" s="22"/>
      <c r="O314" s="22">
        <f t="shared" si="203"/>
        <v>9476</v>
      </c>
      <c r="P314" s="19">
        <f t="shared" si="204"/>
        <v>389</v>
      </c>
      <c r="Q314" s="19">
        <f t="shared" si="205"/>
        <v>9865</v>
      </c>
      <c r="R314" s="6">
        <f t="shared" si="206"/>
        <v>62</v>
      </c>
      <c r="S314" s="6"/>
      <c r="T314" s="6"/>
      <c r="U314" s="126">
        <f t="shared" si="207"/>
        <v>48</v>
      </c>
      <c r="V314" s="126">
        <f t="shared" si="208"/>
        <v>11</v>
      </c>
      <c r="W314" s="6"/>
      <c r="X314" s="6"/>
      <c r="Y314" s="6"/>
      <c r="Z314" s="6"/>
      <c r="AA314" s="19">
        <f t="shared" si="209"/>
        <v>9986</v>
      </c>
      <c r="AB314" s="19">
        <f t="shared" si="210"/>
        <v>10761</v>
      </c>
      <c r="AC314" s="15">
        <f t="shared" si="212"/>
        <v>11956.67</v>
      </c>
      <c r="AD314" s="15">
        <f t="shared" si="213"/>
        <v>10761</v>
      </c>
      <c r="AE314" s="25"/>
      <c r="AF314" s="157">
        <f t="shared" si="69"/>
        <v>0</v>
      </c>
    </row>
    <row r="315" spans="1:32" s="4" customFormat="1" x14ac:dyDescent="0.25">
      <c r="A315" s="65" t="s">
        <v>769</v>
      </c>
      <c r="B315" s="55" t="s">
        <v>507</v>
      </c>
      <c r="C315" s="16" t="s">
        <v>72</v>
      </c>
      <c r="D315" s="13">
        <f>94.2</f>
        <v>94.2</v>
      </c>
      <c r="E315" s="14">
        <f t="shared" si="211"/>
        <v>179.53</v>
      </c>
      <c r="F315" s="14"/>
      <c r="G315" s="14"/>
      <c r="H315" s="22">
        <v>16912</v>
      </c>
      <c r="I315" s="15"/>
      <c r="J315" s="15"/>
      <c r="K315" s="15"/>
      <c r="L315" s="15"/>
      <c r="M315" s="22"/>
      <c r="N315" s="22"/>
      <c r="O315" s="22">
        <f t="shared" si="203"/>
        <v>154237</v>
      </c>
      <c r="P315" s="19">
        <f t="shared" si="204"/>
        <v>6324</v>
      </c>
      <c r="Q315" s="19">
        <f t="shared" si="205"/>
        <v>160561</v>
      </c>
      <c r="R315" s="6">
        <f t="shared" si="206"/>
        <v>1012</v>
      </c>
      <c r="S315" s="6"/>
      <c r="T315" s="6"/>
      <c r="U315" s="126">
        <f t="shared" si="207"/>
        <v>783</v>
      </c>
      <c r="V315" s="126">
        <f t="shared" si="208"/>
        <v>180</v>
      </c>
      <c r="W315" s="6"/>
      <c r="X315" s="6"/>
      <c r="Y315" s="6"/>
      <c r="Z315" s="6"/>
      <c r="AA315" s="19">
        <f t="shared" si="209"/>
        <v>162536</v>
      </c>
      <c r="AB315" s="19">
        <f t="shared" si="210"/>
        <v>175152</v>
      </c>
      <c r="AC315" s="15">
        <f t="shared" si="212"/>
        <v>1859.36</v>
      </c>
      <c r="AD315" s="15">
        <f t="shared" si="213"/>
        <v>175151.71</v>
      </c>
      <c r="AE315" s="25"/>
      <c r="AF315" s="157">
        <f t="shared" si="69"/>
        <v>-0.28999999999999998</v>
      </c>
    </row>
    <row r="316" spans="1:32" s="4" customFormat="1" x14ac:dyDescent="0.25">
      <c r="A316" s="65" t="s">
        <v>770</v>
      </c>
      <c r="B316" s="55" t="s">
        <v>509</v>
      </c>
      <c r="C316" s="16" t="s">
        <v>70</v>
      </c>
      <c r="D316" s="13">
        <v>21.6</v>
      </c>
      <c r="E316" s="14">
        <f t="shared" si="211"/>
        <v>290.05</v>
      </c>
      <c r="F316" s="14"/>
      <c r="G316" s="14"/>
      <c r="H316" s="22">
        <v>6265</v>
      </c>
      <c r="I316" s="15"/>
      <c r="J316" s="15"/>
      <c r="K316" s="15"/>
      <c r="L316" s="15"/>
      <c r="M316" s="22"/>
      <c r="N316" s="22"/>
      <c r="O316" s="22">
        <f t="shared" si="203"/>
        <v>57137</v>
      </c>
      <c r="P316" s="19">
        <f t="shared" si="204"/>
        <v>2343</v>
      </c>
      <c r="Q316" s="19">
        <f t="shared" si="205"/>
        <v>59480</v>
      </c>
      <c r="R316" s="6">
        <f t="shared" si="206"/>
        <v>375</v>
      </c>
      <c r="S316" s="6"/>
      <c r="T316" s="6"/>
      <c r="U316" s="126">
        <f t="shared" si="207"/>
        <v>290</v>
      </c>
      <c r="V316" s="126">
        <f t="shared" si="208"/>
        <v>67</v>
      </c>
      <c r="W316" s="6"/>
      <c r="X316" s="6"/>
      <c r="Y316" s="6"/>
      <c r="Z316" s="6"/>
      <c r="AA316" s="19">
        <f t="shared" si="209"/>
        <v>60212</v>
      </c>
      <c r="AB316" s="19">
        <f t="shared" si="210"/>
        <v>64886</v>
      </c>
      <c r="AC316" s="15">
        <f t="shared" si="212"/>
        <v>3003.98</v>
      </c>
      <c r="AD316" s="15">
        <f t="shared" si="213"/>
        <v>64885.97</v>
      </c>
      <c r="AE316" s="25"/>
      <c r="AF316" s="157">
        <f t="shared" si="69"/>
        <v>-0.03</v>
      </c>
    </row>
    <row r="317" spans="1:32" s="4" customFormat="1" ht="25.5" x14ac:dyDescent="0.25">
      <c r="A317" s="27" t="s">
        <v>774</v>
      </c>
      <c r="B317" s="11" t="s">
        <v>1499</v>
      </c>
      <c r="C317" s="24"/>
      <c r="D317" s="38"/>
      <c r="E317" s="39"/>
      <c r="F317" s="222"/>
      <c r="G317" s="222"/>
      <c r="H317" s="40"/>
      <c r="I317" s="15"/>
      <c r="J317" s="15"/>
      <c r="K317" s="15"/>
      <c r="L317" s="15"/>
      <c r="M317" s="37"/>
      <c r="N317" s="37"/>
      <c r="O317" s="22"/>
      <c r="P317" s="19"/>
      <c r="Q317" s="19"/>
      <c r="R317" s="6"/>
      <c r="S317" s="6"/>
      <c r="T317" s="6"/>
      <c r="U317" s="126"/>
      <c r="V317" s="126"/>
      <c r="W317" s="6"/>
      <c r="X317" s="6"/>
      <c r="Y317" s="6"/>
      <c r="Z317" s="6"/>
      <c r="AA317" s="19"/>
      <c r="AB317" s="19"/>
      <c r="AC317" s="15"/>
      <c r="AD317" s="15"/>
      <c r="AE317" s="25"/>
      <c r="AF317" s="157">
        <f t="shared" si="69"/>
        <v>0</v>
      </c>
    </row>
    <row r="318" spans="1:32" s="4" customFormat="1" x14ac:dyDescent="0.25">
      <c r="A318" s="65" t="s">
        <v>775</v>
      </c>
      <c r="B318" s="55" t="s">
        <v>496</v>
      </c>
      <c r="C318" s="16" t="s">
        <v>468</v>
      </c>
      <c r="D318" s="139">
        <f>187.46/2</f>
        <v>93.73</v>
      </c>
      <c r="E318" s="14">
        <f t="shared" ref="E318:E324" si="214">H318/D318</f>
        <v>21330.9</v>
      </c>
      <c r="F318" s="14"/>
      <c r="G318" s="14"/>
      <c r="H318" s="22">
        <v>1999345</v>
      </c>
      <c r="I318" s="15"/>
      <c r="J318" s="15"/>
      <c r="K318" s="15"/>
      <c r="L318" s="15"/>
      <c r="M318" s="22"/>
      <c r="N318" s="22"/>
      <c r="O318" s="22">
        <f t="shared" si="203"/>
        <v>18234026</v>
      </c>
      <c r="P318" s="19">
        <f t="shared" si="204"/>
        <v>747595</v>
      </c>
      <c r="Q318" s="19">
        <f t="shared" si="205"/>
        <v>18981621</v>
      </c>
      <c r="R318" s="6">
        <f t="shared" si="206"/>
        <v>119584</v>
      </c>
      <c r="S318" s="6"/>
      <c r="T318" s="6"/>
      <c r="U318" s="126">
        <f t="shared" si="207"/>
        <v>92582</v>
      </c>
      <c r="V318" s="126">
        <f t="shared" si="208"/>
        <v>21249</v>
      </c>
      <c r="W318" s="6"/>
      <c r="X318" s="6"/>
      <c r="Y318" s="6"/>
      <c r="Z318" s="6"/>
      <c r="AA318" s="19">
        <f t="shared" si="209"/>
        <v>19215036</v>
      </c>
      <c r="AB318" s="19">
        <f t="shared" si="210"/>
        <v>20706507</v>
      </c>
      <c r="AC318" s="15">
        <f t="shared" ref="AC318:AC324" si="215">AB318/D318</f>
        <v>220916.54</v>
      </c>
      <c r="AD318" s="15">
        <f t="shared" ref="AD318:AD324" si="216">AC318*D318</f>
        <v>20706507.289999999</v>
      </c>
      <c r="AE318" s="25"/>
      <c r="AF318" s="157">
        <f t="shared" ref="AF318:AF511" si="217">AD318-AB318</f>
        <v>0.28999999999999998</v>
      </c>
    </row>
    <row r="319" spans="1:32" s="4" customFormat="1" x14ac:dyDescent="0.25">
      <c r="A319" s="65" t="s">
        <v>776</v>
      </c>
      <c r="B319" s="55" t="s">
        <v>132</v>
      </c>
      <c r="C319" s="16" t="s">
        <v>70</v>
      </c>
      <c r="D319" s="13">
        <v>13.4</v>
      </c>
      <c r="E319" s="14">
        <f t="shared" si="214"/>
        <v>5445.52</v>
      </c>
      <c r="F319" s="14"/>
      <c r="G319" s="14"/>
      <c r="H319" s="22">
        <v>72970</v>
      </c>
      <c r="I319" s="15"/>
      <c r="J319" s="15"/>
      <c r="K319" s="15"/>
      <c r="L319" s="15"/>
      <c r="M319" s="22"/>
      <c r="N319" s="22"/>
      <c r="O319" s="22">
        <f t="shared" si="203"/>
        <v>665486</v>
      </c>
      <c r="P319" s="19">
        <f t="shared" si="204"/>
        <v>27285</v>
      </c>
      <c r="Q319" s="19">
        <f t="shared" si="205"/>
        <v>692771</v>
      </c>
      <c r="R319" s="6">
        <f t="shared" si="206"/>
        <v>4364</v>
      </c>
      <c r="S319" s="6"/>
      <c r="T319" s="6"/>
      <c r="U319" s="126">
        <f t="shared" si="207"/>
        <v>3379</v>
      </c>
      <c r="V319" s="126">
        <f t="shared" si="208"/>
        <v>776</v>
      </c>
      <c r="W319" s="6"/>
      <c r="X319" s="6"/>
      <c r="Y319" s="6"/>
      <c r="Z319" s="6"/>
      <c r="AA319" s="19">
        <f t="shared" si="209"/>
        <v>701290</v>
      </c>
      <c r="AB319" s="19">
        <f t="shared" si="210"/>
        <v>755724</v>
      </c>
      <c r="AC319" s="15">
        <f t="shared" si="215"/>
        <v>56397.31</v>
      </c>
      <c r="AD319" s="15">
        <f t="shared" si="216"/>
        <v>755723.95</v>
      </c>
      <c r="AE319" s="25"/>
      <c r="AF319" s="157">
        <f t="shared" si="217"/>
        <v>-0.05</v>
      </c>
    </row>
    <row r="320" spans="1:32" s="4" customFormat="1" ht="25.5" x14ac:dyDescent="0.25">
      <c r="A320" s="65" t="s">
        <v>777</v>
      </c>
      <c r="B320" s="55" t="s">
        <v>501</v>
      </c>
      <c r="C320" s="16" t="s">
        <v>72</v>
      </c>
      <c r="D320" s="13">
        <f>59.6+40.2+27.8</f>
        <v>127.6</v>
      </c>
      <c r="E320" s="14">
        <f t="shared" si="214"/>
        <v>162.84</v>
      </c>
      <c r="F320" s="14"/>
      <c r="G320" s="14"/>
      <c r="H320" s="22">
        <v>20779</v>
      </c>
      <c r="I320" s="15"/>
      <c r="J320" s="15"/>
      <c r="K320" s="15"/>
      <c r="L320" s="15"/>
      <c r="M320" s="22"/>
      <c r="N320" s="22"/>
      <c r="O320" s="22">
        <f t="shared" si="203"/>
        <v>189504</v>
      </c>
      <c r="P320" s="19">
        <f t="shared" si="204"/>
        <v>7770</v>
      </c>
      <c r="Q320" s="19">
        <f t="shared" si="205"/>
        <v>197274</v>
      </c>
      <c r="R320" s="6">
        <f t="shared" si="206"/>
        <v>1243</v>
      </c>
      <c r="S320" s="6"/>
      <c r="T320" s="6"/>
      <c r="U320" s="126">
        <f t="shared" si="207"/>
        <v>962</v>
      </c>
      <c r="V320" s="126">
        <f t="shared" si="208"/>
        <v>221</v>
      </c>
      <c r="W320" s="6"/>
      <c r="X320" s="6"/>
      <c r="Y320" s="6"/>
      <c r="Z320" s="6"/>
      <c r="AA320" s="19">
        <f t="shared" si="209"/>
        <v>199700</v>
      </c>
      <c r="AB320" s="19">
        <f t="shared" si="210"/>
        <v>215201</v>
      </c>
      <c r="AC320" s="15">
        <f t="shared" si="215"/>
        <v>1686.53</v>
      </c>
      <c r="AD320" s="15">
        <f t="shared" si="216"/>
        <v>215201.23</v>
      </c>
      <c r="AE320" s="25"/>
      <c r="AF320" s="157">
        <f t="shared" si="217"/>
        <v>0.23</v>
      </c>
    </row>
    <row r="321" spans="1:32" s="4" customFormat="1" ht="25.5" x14ac:dyDescent="0.25">
      <c r="A321" s="65" t="s">
        <v>778</v>
      </c>
      <c r="B321" s="55" t="s">
        <v>503</v>
      </c>
      <c r="C321" s="16" t="s">
        <v>72</v>
      </c>
      <c r="D321" s="13">
        <v>100.2</v>
      </c>
      <c r="E321" s="14">
        <f t="shared" si="214"/>
        <v>184.08</v>
      </c>
      <c r="F321" s="14"/>
      <c r="G321" s="14"/>
      <c r="H321" s="22">
        <v>18445</v>
      </c>
      <c r="I321" s="15"/>
      <c r="J321" s="15"/>
      <c r="K321" s="15"/>
      <c r="L321" s="15"/>
      <c r="M321" s="22"/>
      <c r="N321" s="22"/>
      <c r="O321" s="22">
        <f t="shared" si="203"/>
        <v>168218</v>
      </c>
      <c r="P321" s="19">
        <f t="shared" si="204"/>
        <v>6897</v>
      </c>
      <c r="Q321" s="19">
        <f t="shared" si="205"/>
        <v>175115</v>
      </c>
      <c r="R321" s="6">
        <f t="shared" si="206"/>
        <v>1103</v>
      </c>
      <c r="S321" s="6"/>
      <c r="T321" s="6"/>
      <c r="U321" s="126">
        <f t="shared" si="207"/>
        <v>854</v>
      </c>
      <c r="V321" s="126">
        <f t="shared" si="208"/>
        <v>196</v>
      </c>
      <c r="W321" s="6"/>
      <c r="X321" s="6"/>
      <c r="Y321" s="6"/>
      <c r="Z321" s="6"/>
      <c r="AA321" s="19">
        <f t="shared" si="209"/>
        <v>177268</v>
      </c>
      <c r="AB321" s="19">
        <f t="shared" si="210"/>
        <v>191028</v>
      </c>
      <c r="AC321" s="15">
        <f t="shared" si="215"/>
        <v>1906.47</v>
      </c>
      <c r="AD321" s="15">
        <f t="shared" si="216"/>
        <v>191028.29</v>
      </c>
      <c r="AE321" s="25"/>
      <c r="AF321" s="157">
        <f t="shared" si="217"/>
        <v>0.28999999999999998</v>
      </c>
    </row>
    <row r="322" spans="1:32" s="4" customFormat="1" x14ac:dyDescent="0.25">
      <c r="A322" s="65" t="s">
        <v>779</v>
      </c>
      <c r="B322" s="55" t="s">
        <v>505</v>
      </c>
      <c r="C322" s="16" t="s">
        <v>70</v>
      </c>
      <c r="D322" s="13">
        <f>1.8+1.2</f>
        <v>3</v>
      </c>
      <c r="E322" s="14">
        <f t="shared" si="214"/>
        <v>1154.33</v>
      </c>
      <c r="F322" s="14"/>
      <c r="G322" s="14"/>
      <c r="H322" s="22">
        <v>3463</v>
      </c>
      <c r="I322" s="15"/>
      <c r="J322" s="15"/>
      <c r="K322" s="15"/>
      <c r="L322" s="15"/>
      <c r="M322" s="22"/>
      <c r="N322" s="22"/>
      <c r="O322" s="22">
        <f t="shared" si="203"/>
        <v>31583</v>
      </c>
      <c r="P322" s="19">
        <f t="shared" si="204"/>
        <v>1295</v>
      </c>
      <c r="Q322" s="19">
        <f t="shared" si="205"/>
        <v>32878</v>
      </c>
      <c r="R322" s="6">
        <f t="shared" si="206"/>
        <v>207</v>
      </c>
      <c r="S322" s="6"/>
      <c r="T322" s="6"/>
      <c r="U322" s="126">
        <f t="shared" si="207"/>
        <v>160</v>
      </c>
      <c r="V322" s="126">
        <f t="shared" si="208"/>
        <v>37</v>
      </c>
      <c r="W322" s="6"/>
      <c r="X322" s="6"/>
      <c r="Y322" s="6"/>
      <c r="Z322" s="6"/>
      <c r="AA322" s="19">
        <f t="shared" si="209"/>
        <v>33282</v>
      </c>
      <c r="AB322" s="19">
        <f t="shared" si="210"/>
        <v>35865</v>
      </c>
      <c r="AC322" s="15">
        <f t="shared" si="215"/>
        <v>11955</v>
      </c>
      <c r="AD322" s="15">
        <f t="shared" si="216"/>
        <v>35865</v>
      </c>
      <c r="AE322" s="25"/>
      <c r="AF322" s="157">
        <f t="shared" si="217"/>
        <v>0</v>
      </c>
    </row>
    <row r="323" spans="1:32" s="4" customFormat="1" x14ac:dyDescent="0.25">
      <c r="A323" s="65" t="s">
        <v>780</v>
      </c>
      <c r="B323" s="55" t="s">
        <v>507</v>
      </c>
      <c r="C323" s="16" t="s">
        <v>72</v>
      </c>
      <c r="D323" s="13">
        <f>99.8</f>
        <v>99.8</v>
      </c>
      <c r="E323" s="14">
        <f t="shared" si="214"/>
        <v>184.28</v>
      </c>
      <c r="F323" s="14"/>
      <c r="G323" s="14"/>
      <c r="H323" s="22">
        <v>18391</v>
      </c>
      <c r="I323" s="15"/>
      <c r="J323" s="15"/>
      <c r="K323" s="15"/>
      <c r="L323" s="15"/>
      <c r="M323" s="22"/>
      <c r="N323" s="22"/>
      <c r="O323" s="22">
        <f t="shared" si="203"/>
        <v>167726</v>
      </c>
      <c r="P323" s="19">
        <f t="shared" si="204"/>
        <v>6877</v>
      </c>
      <c r="Q323" s="19">
        <f t="shared" si="205"/>
        <v>174603</v>
      </c>
      <c r="R323" s="6">
        <f t="shared" si="206"/>
        <v>1100</v>
      </c>
      <c r="S323" s="6"/>
      <c r="T323" s="6"/>
      <c r="U323" s="126">
        <f t="shared" si="207"/>
        <v>852</v>
      </c>
      <c r="V323" s="126">
        <f t="shared" si="208"/>
        <v>195</v>
      </c>
      <c r="W323" s="6"/>
      <c r="X323" s="6"/>
      <c r="Y323" s="6"/>
      <c r="Z323" s="6"/>
      <c r="AA323" s="19">
        <f t="shared" si="209"/>
        <v>176750</v>
      </c>
      <c r="AB323" s="19">
        <f t="shared" si="210"/>
        <v>190469</v>
      </c>
      <c r="AC323" s="15">
        <f t="shared" si="215"/>
        <v>1908.51</v>
      </c>
      <c r="AD323" s="15">
        <f t="shared" si="216"/>
        <v>190469.3</v>
      </c>
      <c r="AE323" s="25"/>
      <c r="AF323" s="157">
        <f t="shared" si="217"/>
        <v>0.3</v>
      </c>
    </row>
    <row r="324" spans="1:32" s="4" customFormat="1" x14ac:dyDescent="0.25">
      <c r="A324" s="65" t="s">
        <v>781</v>
      </c>
      <c r="B324" s="55" t="s">
        <v>509</v>
      </c>
      <c r="C324" s="16" t="s">
        <v>70</v>
      </c>
      <c r="D324" s="13">
        <f>33.8</f>
        <v>33.799999999999997</v>
      </c>
      <c r="E324" s="14">
        <f t="shared" si="214"/>
        <v>290.02999999999997</v>
      </c>
      <c r="F324" s="14"/>
      <c r="G324" s="14"/>
      <c r="H324" s="22">
        <v>9803</v>
      </c>
      <c r="I324" s="15"/>
      <c r="J324" s="15"/>
      <c r="K324" s="15"/>
      <c r="L324" s="15"/>
      <c r="M324" s="22"/>
      <c r="N324" s="22"/>
      <c r="O324" s="22">
        <f t="shared" si="203"/>
        <v>89403</v>
      </c>
      <c r="P324" s="19">
        <f t="shared" si="204"/>
        <v>3666</v>
      </c>
      <c r="Q324" s="19">
        <f t="shared" si="205"/>
        <v>93069</v>
      </c>
      <c r="R324" s="6">
        <f t="shared" si="206"/>
        <v>586</v>
      </c>
      <c r="S324" s="6"/>
      <c r="T324" s="6"/>
      <c r="U324" s="126">
        <f t="shared" si="207"/>
        <v>454</v>
      </c>
      <c r="V324" s="126">
        <f t="shared" si="208"/>
        <v>104</v>
      </c>
      <c r="W324" s="6"/>
      <c r="X324" s="6"/>
      <c r="Y324" s="6"/>
      <c r="Z324" s="6"/>
      <c r="AA324" s="19">
        <f t="shared" si="209"/>
        <v>94213</v>
      </c>
      <c r="AB324" s="19">
        <f t="shared" si="210"/>
        <v>101526</v>
      </c>
      <c r="AC324" s="15">
        <f t="shared" si="215"/>
        <v>3003.73</v>
      </c>
      <c r="AD324" s="15">
        <f t="shared" si="216"/>
        <v>101526.07</v>
      </c>
      <c r="AE324" s="25"/>
      <c r="AF324" s="157">
        <f t="shared" si="217"/>
        <v>7.0000000000000007E-2</v>
      </c>
    </row>
    <row r="325" spans="1:32" s="4" customFormat="1" ht="25.5" x14ac:dyDescent="0.25">
      <c r="A325" s="27" t="s">
        <v>782</v>
      </c>
      <c r="B325" s="11" t="s">
        <v>1500</v>
      </c>
      <c r="C325" s="24"/>
      <c r="D325" s="38"/>
      <c r="E325" s="39"/>
      <c r="F325" s="222"/>
      <c r="G325" s="222"/>
      <c r="H325" s="40"/>
      <c r="I325" s="15"/>
      <c r="J325" s="15"/>
      <c r="K325" s="15"/>
      <c r="L325" s="15"/>
      <c r="M325" s="37"/>
      <c r="N325" s="37"/>
      <c r="O325" s="22"/>
      <c r="P325" s="19"/>
      <c r="Q325" s="19"/>
      <c r="R325" s="6"/>
      <c r="S325" s="6"/>
      <c r="T325" s="6"/>
      <c r="U325" s="126"/>
      <c r="V325" s="126"/>
      <c r="W325" s="6"/>
      <c r="X325" s="6"/>
      <c r="Y325" s="6"/>
      <c r="Z325" s="6"/>
      <c r="AA325" s="19"/>
      <c r="AB325" s="19"/>
      <c r="AC325" s="15"/>
      <c r="AD325" s="15"/>
      <c r="AE325" s="25"/>
      <c r="AF325" s="157">
        <f t="shared" si="217"/>
        <v>0</v>
      </c>
    </row>
    <row r="326" spans="1:32" s="4" customFormat="1" ht="25.5" x14ac:dyDescent="0.25">
      <c r="A326" s="65" t="s">
        <v>783</v>
      </c>
      <c r="B326" s="55" t="s">
        <v>743</v>
      </c>
      <c r="C326" s="16" t="s">
        <v>72</v>
      </c>
      <c r="D326" s="13">
        <f>283</f>
        <v>283</v>
      </c>
      <c r="E326" s="14">
        <f t="shared" ref="E326:E333" si="218">H326/D326</f>
        <v>33.76</v>
      </c>
      <c r="F326" s="14"/>
      <c r="G326" s="14"/>
      <c r="H326" s="22">
        <v>9553</v>
      </c>
      <c r="I326" s="15"/>
      <c r="J326" s="15"/>
      <c r="K326" s="15"/>
      <c r="L326" s="15"/>
      <c r="M326" s="22"/>
      <c r="N326" s="22"/>
      <c r="O326" s="22">
        <f t="shared" si="203"/>
        <v>87123</v>
      </c>
      <c r="P326" s="19">
        <f t="shared" si="204"/>
        <v>3572</v>
      </c>
      <c r="Q326" s="19">
        <f t="shared" si="205"/>
        <v>90695</v>
      </c>
      <c r="R326" s="6">
        <f t="shared" si="206"/>
        <v>571</v>
      </c>
      <c r="S326" s="6"/>
      <c r="T326" s="6"/>
      <c r="U326" s="126">
        <f t="shared" si="207"/>
        <v>442</v>
      </c>
      <c r="V326" s="126">
        <f t="shared" si="208"/>
        <v>102</v>
      </c>
      <c r="W326" s="6"/>
      <c r="X326" s="6"/>
      <c r="Y326" s="6"/>
      <c r="Z326" s="6"/>
      <c r="AA326" s="19">
        <f t="shared" si="209"/>
        <v>91810</v>
      </c>
      <c r="AB326" s="19">
        <f t="shared" si="210"/>
        <v>98936</v>
      </c>
      <c r="AC326" s="15">
        <f t="shared" ref="AC326:AC333" si="219">AB326/D326</f>
        <v>349.6</v>
      </c>
      <c r="AD326" s="15">
        <f t="shared" ref="AD326:AD333" si="220">AC326*D326</f>
        <v>98936.8</v>
      </c>
      <c r="AE326" s="25"/>
      <c r="AF326" s="157">
        <f t="shared" si="217"/>
        <v>0.8</v>
      </c>
    </row>
    <row r="327" spans="1:32" s="4" customFormat="1" x14ac:dyDescent="0.25">
      <c r="A327" s="65" t="s">
        <v>784</v>
      </c>
      <c r="B327" s="55" t="s">
        <v>496</v>
      </c>
      <c r="C327" s="16" t="s">
        <v>468</v>
      </c>
      <c r="D327" s="139">
        <f>414.77/3</f>
        <v>138.25700000000001</v>
      </c>
      <c r="E327" s="14">
        <f t="shared" si="218"/>
        <v>29562.81</v>
      </c>
      <c r="F327" s="14"/>
      <c r="G327" s="14"/>
      <c r="H327" s="22">
        <v>4087265</v>
      </c>
      <c r="I327" s="15"/>
      <c r="J327" s="15"/>
      <c r="K327" s="15"/>
      <c r="L327" s="15"/>
      <c r="M327" s="22"/>
      <c r="N327" s="22"/>
      <c r="O327" s="22">
        <f t="shared" si="203"/>
        <v>37275857</v>
      </c>
      <c r="P327" s="19">
        <f t="shared" si="204"/>
        <v>1528310</v>
      </c>
      <c r="Q327" s="19">
        <f t="shared" si="205"/>
        <v>38804167</v>
      </c>
      <c r="R327" s="6">
        <f t="shared" si="206"/>
        <v>244466</v>
      </c>
      <c r="S327" s="6"/>
      <c r="T327" s="6"/>
      <c r="U327" s="126">
        <f t="shared" si="207"/>
        <v>189265</v>
      </c>
      <c r="V327" s="126">
        <f t="shared" si="208"/>
        <v>43439</v>
      </c>
      <c r="W327" s="6"/>
      <c r="X327" s="6"/>
      <c r="Y327" s="6"/>
      <c r="Z327" s="6"/>
      <c r="AA327" s="19">
        <f t="shared" si="209"/>
        <v>39281337</v>
      </c>
      <c r="AB327" s="19">
        <f t="shared" si="210"/>
        <v>42330354</v>
      </c>
      <c r="AC327" s="15">
        <f t="shared" si="219"/>
        <v>306171.51</v>
      </c>
      <c r="AD327" s="15">
        <f t="shared" si="220"/>
        <v>42330354.460000001</v>
      </c>
      <c r="AE327" s="25"/>
      <c r="AF327" s="157">
        <f t="shared" si="217"/>
        <v>0.46</v>
      </c>
    </row>
    <row r="328" spans="1:32" s="4" customFormat="1" x14ac:dyDescent="0.25">
      <c r="A328" s="65" t="s">
        <v>785</v>
      </c>
      <c r="B328" s="55" t="s">
        <v>132</v>
      </c>
      <c r="C328" s="16" t="s">
        <v>70</v>
      </c>
      <c r="D328" s="13">
        <v>29.7</v>
      </c>
      <c r="E328" s="14">
        <f t="shared" si="218"/>
        <v>5445.52</v>
      </c>
      <c r="F328" s="14"/>
      <c r="G328" s="14"/>
      <c r="H328" s="22">
        <v>161732</v>
      </c>
      <c r="I328" s="15"/>
      <c r="J328" s="15"/>
      <c r="K328" s="15"/>
      <c r="L328" s="15"/>
      <c r="M328" s="22"/>
      <c r="N328" s="22"/>
      <c r="O328" s="22">
        <f t="shared" si="203"/>
        <v>1474996</v>
      </c>
      <c r="P328" s="19">
        <f t="shared" si="204"/>
        <v>60475</v>
      </c>
      <c r="Q328" s="19">
        <f t="shared" si="205"/>
        <v>1535471</v>
      </c>
      <c r="R328" s="6">
        <f t="shared" si="206"/>
        <v>9673</v>
      </c>
      <c r="S328" s="6"/>
      <c r="T328" s="6"/>
      <c r="U328" s="126">
        <f t="shared" si="207"/>
        <v>7489</v>
      </c>
      <c r="V328" s="126">
        <f t="shared" si="208"/>
        <v>1719</v>
      </c>
      <c r="W328" s="6"/>
      <c r="X328" s="6"/>
      <c r="Y328" s="6"/>
      <c r="Z328" s="6"/>
      <c r="AA328" s="19">
        <f t="shared" si="209"/>
        <v>1554352</v>
      </c>
      <c r="AB328" s="19">
        <f t="shared" si="210"/>
        <v>1675001</v>
      </c>
      <c r="AC328" s="15">
        <f t="shared" si="219"/>
        <v>56397.34</v>
      </c>
      <c r="AD328" s="15">
        <f t="shared" si="220"/>
        <v>1675001</v>
      </c>
      <c r="AE328" s="25"/>
      <c r="AF328" s="157">
        <f t="shared" si="217"/>
        <v>0</v>
      </c>
    </row>
    <row r="329" spans="1:32" s="4" customFormat="1" ht="25.5" x14ac:dyDescent="0.25">
      <c r="A329" s="65" t="s">
        <v>786</v>
      </c>
      <c r="B329" s="55" t="s">
        <v>501</v>
      </c>
      <c r="C329" s="16" t="s">
        <v>72</v>
      </c>
      <c r="D329" s="13">
        <f>129.6+95.8+74.6</f>
        <v>300</v>
      </c>
      <c r="E329" s="14">
        <f t="shared" si="218"/>
        <v>164.51</v>
      </c>
      <c r="F329" s="14"/>
      <c r="G329" s="14"/>
      <c r="H329" s="22">
        <v>49352</v>
      </c>
      <c r="I329" s="15"/>
      <c r="J329" s="15"/>
      <c r="K329" s="15"/>
      <c r="L329" s="15"/>
      <c r="M329" s="22"/>
      <c r="N329" s="22"/>
      <c r="O329" s="22">
        <f t="shared" si="203"/>
        <v>450090</v>
      </c>
      <c r="P329" s="19">
        <f t="shared" si="204"/>
        <v>18454</v>
      </c>
      <c r="Q329" s="19">
        <f t="shared" si="205"/>
        <v>468544</v>
      </c>
      <c r="R329" s="6">
        <f t="shared" si="206"/>
        <v>2952</v>
      </c>
      <c r="S329" s="6"/>
      <c r="T329" s="6"/>
      <c r="U329" s="126">
        <f t="shared" si="207"/>
        <v>2285</v>
      </c>
      <c r="V329" s="126">
        <f t="shared" si="208"/>
        <v>525</v>
      </c>
      <c r="W329" s="6"/>
      <c r="X329" s="6"/>
      <c r="Y329" s="6"/>
      <c r="Z329" s="6"/>
      <c r="AA329" s="19">
        <f t="shared" si="209"/>
        <v>474306</v>
      </c>
      <c r="AB329" s="19">
        <f t="shared" si="210"/>
        <v>511122</v>
      </c>
      <c r="AC329" s="15">
        <f t="shared" si="219"/>
        <v>1703.74</v>
      </c>
      <c r="AD329" s="15">
        <f t="shared" si="220"/>
        <v>511122</v>
      </c>
      <c r="AE329" s="25"/>
      <c r="AF329" s="157">
        <f t="shared" si="217"/>
        <v>0</v>
      </c>
    </row>
    <row r="330" spans="1:32" s="4" customFormat="1" ht="25.5" x14ac:dyDescent="0.25">
      <c r="A330" s="65" t="s">
        <v>787</v>
      </c>
      <c r="B330" s="55" t="s">
        <v>503</v>
      </c>
      <c r="C330" s="16" t="s">
        <v>72</v>
      </c>
      <c r="D330" s="13">
        <f>329.4</f>
        <v>329.4</v>
      </c>
      <c r="E330" s="14">
        <f t="shared" si="218"/>
        <v>181.47</v>
      </c>
      <c r="F330" s="14"/>
      <c r="G330" s="14"/>
      <c r="H330" s="22">
        <v>59776</v>
      </c>
      <c r="I330" s="15"/>
      <c r="J330" s="15"/>
      <c r="K330" s="15"/>
      <c r="L330" s="15"/>
      <c r="M330" s="22"/>
      <c r="N330" s="22"/>
      <c r="O330" s="22">
        <f t="shared" si="203"/>
        <v>545157</v>
      </c>
      <c r="P330" s="19">
        <f t="shared" si="204"/>
        <v>22351</v>
      </c>
      <c r="Q330" s="19">
        <f t="shared" si="205"/>
        <v>567508</v>
      </c>
      <c r="R330" s="6">
        <f t="shared" si="206"/>
        <v>3575</v>
      </c>
      <c r="S330" s="6"/>
      <c r="T330" s="6"/>
      <c r="U330" s="126">
        <f t="shared" si="207"/>
        <v>2768</v>
      </c>
      <c r="V330" s="126">
        <f t="shared" si="208"/>
        <v>635</v>
      </c>
      <c r="W330" s="6"/>
      <c r="X330" s="6"/>
      <c r="Y330" s="6"/>
      <c r="Z330" s="6"/>
      <c r="AA330" s="19">
        <f t="shared" si="209"/>
        <v>574486</v>
      </c>
      <c r="AB330" s="19">
        <f t="shared" si="210"/>
        <v>619078</v>
      </c>
      <c r="AC330" s="15">
        <f t="shared" si="219"/>
        <v>1879.41</v>
      </c>
      <c r="AD330" s="15">
        <f t="shared" si="220"/>
        <v>619077.65</v>
      </c>
      <c r="AE330" s="25"/>
      <c r="AF330" s="157">
        <f t="shared" si="217"/>
        <v>-0.35</v>
      </c>
    </row>
    <row r="331" spans="1:32" s="4" customFormat="1" x14ac:dyDescent="0.25">
      <c r="A331" s="65" t="s">
        <v>788</v>
      </c>
      <c r="B331" s="55" t="s">
        <v>505</v>
      </c>
      <c r="C331" s="16" t="s">
        <v>70</v>
      </c>
      <c r="D331" s="13">
        <f>3.3+2.4</f>
        <v>5.7</v>
      </c>
      <c r="E331" s="14">
        <f t="shared" si="218"/>
        <v>1154.3900000000001</v>
      </c>
      <c r="F331" s="14"/>
      <c r="G331" s="14"/>
      <c r="H331" s="22">
        <v>6580</v>
      </c>
      <c r="I331" s="15"/>
      <c r="J331" s="15"/>
      <c r="K331" s="15"/>
      <c r="L331" s="15"/>
      <c r="M331" s="22"/>
      <c r="N331" s="22"/>
      <c r="O331" s="22">
        <f t="shared" si="203"/>
        <v>60010</v>
      </c>
      <c r="P331" s="19">
        <f t="shared" si="204"/>
        <v>2460</v>
      </c>
      <c r="Q331" s="19">
        <f t="shared" si="205"/>
        <v>62470</v>
      </c>
      <c r="R331" s="6">
        <f t="shared" si="206"/>
        <v>394</v>
      </c>
      <c r="S331" s="6"/>
      <c r="T331" s="6"/>
      <c r="U331" s="126">
        <f t="shared" si="207"/>
        <v>305</v>
      </c>
      <c r="V331" s="126">
        <f t="shared" si="208"/>
        <v>70</v>
      </c>
      <c r="W331" s="6"/>
      <c r="X331" s="6"/>
      <c r="Y331" s="6"/>
      <c r="Z331" s="6"/>
      <c r="AA331" s="19">
        <f t="shared" si="209"/>
        <v>63239</v>
      </c>
      <c r="AB331" s="19">
        <f t="shared" si="210"/>
        <v>68148</v>
      </c>
      <c r="AC331" s="15">
        <f t="shared" si="219"/>
        <v>11955.79</v>
      </c>
      <c r="AD331" s="15">
        <f t="shared" si="220"/>
        <v>68148</v>
      </c>
      <c r="AE331" s="25"/>
      <c r="AF331" s="157">
        <f t="shared" si="217"/>
        <v>0</v>
      </c>
    </row>
    <row r="332" spans="1:32" s="4" customFormat="1" x14ac:dyDescent="0.25">
      <c r="A332" s="65" t="s">
        <v>789</v>
      </c>
      <c r="B332" s="55" t="s">
        <v>507</v>
      </c>
      <c r="C332" s="16" t="s">
        <v>72</v>
      </c>
      <c r="D332" s="13">
        <f>231.7</f>
        <v>231.7</v>
      </c>
      <c r="E332" s="14">
        <f t="shared" si="218"/>
        <v>184.27</v>
      </c>
      <c r="F332" s="14"/>
      <c r="G332" s="14"/>
      <c r="H332" s="22">
        <v>42696</v>
      </c>
      <c r="I332" s="15"/>
      <c r="J332" s="15"/>
      <c r="K332" s="15"/>
      <c r="L332" s="15"/>
      <c r="M332" s="22"/>
      <c r="N332" s="22"/>
      <c r="O332" s="22">
        <f t="shared" si="203"/>
        <v>389388</v>
      </c>
      <c r="P332" s="19">
        <f t="shared" si="204"/>
        <v>15965</v>
      </c>
      <c r="Q332" s="19">
        <f t="shared" si="205"/>
        <v>405353</v>
      </c>
      <c r="R332" s="6">
        <f t="shared" si="206"/>
        <v>2554</v>
      </c>
      <c r="S332" s="6"/>
      <c r="T332" s="6"/>
      <c r="U332" s="126">
        <f t="shared" si="207"/>
        <v>1977</v>
      </c>
      <c r="V332" s="126">
        <f t="shared" si="208"/>
        <v>454</v>
      </c>
      <c r="W332" s="6"/>
      <c r="X332" s="6"/>
      <c r="Y332" s="6"/>
      <c r="Z332" s="6"/>
      <c r="AA332" s="19">
        <f t="shared" si="209"/>
        <v>410338</v>
      </c>
      <c r="AB332" s="19">
        <f t="shared" si="210"/>
        <v>442188</v>
      </c>
      <c r="AC332" s="15">
        <f t="shared" si="219"/>
        <v>1908.45</v>
      </c>
      <c r="AD332" s="15">
        <f t="shared" si="220"/>
        <v>442187.87</v>
      </c>
      <c r="AE332" s="25"/>
      <c r="AF332" s="157">
        <f t="shared" si="217"/>
        <v>-0.13</v>
      </c>
    </row>
    <row r="333" spans="1:32" s="4" customFormat="1" x14ac:dyDescent="0.25">
      <c r="A333" s="65" t="s">
        <v>790</v>
      </c>
      <c r="B333" s="55" t="s">
        <v>509</v>
      </c>
      <c r="C333" s="16" t="s">
        <v>70</v>
      </c>
      <c r="D333" s="13">
        <f>85.3</f>
        <v>85.3</v>
      </c>
      <c r="E333" s="14">
        <f t="shared" si="218"/>
        <v>290.04000000000002</v>
      </c>
      <c r="F333" s="14"/>
      <c r="G333" s="14"/>
      <c r="H333" s="22">
        <v>24740</v>
      </c>
      <c r="I333" s="15"/>
      <c r="J333" s="15"/>
      <c r="K333" s="15"/>
      <c r="L333" s="15"/>
      <c r="M333" s="22"/>
      <c r="N333" s="22"/>
      <c r="O333" s="22">
        <f t="shared" si="203"/>
        <v>225629</v>
      </c>
      <c r="P333" s="19">
        <f t="shared" si="204"/>
        <v>9251</v>
      </c>
      <c r="Q333" s="19">
        <f t="shared" si="205"/>
        <v>234880</v>
      </c>
      <c r="R333" s="6">
        <f t="shared" si="206"/>
        <v>1480</v>
      </c>
      <c r="S333" s="6"/>
      <c r="T333" s="6"/>
      <c r="U333" s="126">
        <f t="shared" si="207"/>
        <v>1146</v>
      </c>
      <c r="V333" s="126">
        <f t="shared" si="208"/>
        <v>263</v>
      </c>
      <c r="W333" s="6"/>
      <c r="X333" s="6"/>
      <c r="Y333" s="6"/>
      <c r="Z333" s="6"/>
      <c r="AA333" s="19">
        <f t="shared" si="209"/>
        <v>237769</v>
      </c>
      <c r="AB333" s="19">
        <f t="shared" si="210"/>
        <v>256225</v>
      </c>
      <c r="AC333" s="15">
        <f t="shared" si="219"/>
        <v>3003.81</v>
      </c>
      <c r="AD333" s="15">
        <f t="shared" si="220"/>
        <v>256224.99</v>
      </c>
      <c r="AE333" s="25"/>
      <c r="AF333" s="157">
        <f t="shared" si="217"/>
        <v>-0.01</v>
      </c>
    </row>
    <row r="334" spans="1:32" s="4" customFormat="1" ht="25.5" x14ac:dyDescent="0.25">
      <c r="A334" s="27" t="s">
        <v>792</v>
      </c>
      <c r="B334" s="11" t="s">
        <v>791</v>
      </c>
      <c r="C334" s="24"/>
      <c r="D334" s="38"/>
      <c r="E334" s="39"/>
      <c r="F334" s="222"/>
      <c r="G334" s="222"/>
      <c r="H334" s="40"/>
      <c r="I334" s="15"/>
      <c r="J334" s="15"/>
      <c r="K334" s="15"/>
      <c r="L334" s="15"/>
      <c r="M334" s="37"/>
      <c r="N334" s="37"/>
      <c r="O334" s="22"/>
      <c r="P334" s="19"/>
      <c r="Q334" s="19"/>
      <c r="R334" s="6"/>
      <c r="S334" s="6"/>
      <c r="T334" s="6"/>
      <c r="U334" s="126"/>
      <c r="V334" s="126"/>
      <c r="W334" s="6"/>
      <c r="X334" s="6"/>
      <c r="Y334" s="6"/>
      <c r="Z334" s="6"/>
      <c r="AA334" s="19"/>
      <c r="AB334" s="19"/>
      <c r="AC334" s="15"/>
      <c r="AD334" s="15"/>
      <c r="AE334" s="25"/>
      <c r="AF334" s="157">
        <f t="shared" si="217"/>
        <v>0</v>
      </c>
    </row>
    <row r="335" spans="1:32" s="4" customFormat="1" ht="25.5" x14ac:dyDescent="0.25">
      <c r="A335" s="65" t="s">
        <v>793</v>
      </c>
      <c r="B335" s="55" t="s">
        <v>743</v>
      </c>
      <c r="C335" s="16" t="s">
        <v>72</v>
      </c>
      <c r="D335" s="13">
        <f>1250</f>
        <v>1250</v>
      </c>
      <c r="E335" s="14">
        <f t="shared" ref="E335:E347" si="221">H335/D335</f>
        <v>7.42</v>
      </c>
      <c r="F335" s="14"/>
      <c r="G335" s="14"/>
      <c r="H335" s="22">
        <v>9271</v>
      </c>
      <c r="I335" s="15"/>
      <c r="J335" s="15"/>
      <c r="K335" s="15"/>
      <c r="L335" s="15"/>
      <c r="M335" s="22"/>
      <c r="N335" s="22"/>
      <c r="O335" s="22">
        <f t="shared" si="203"/>
        <v>84552</v>
      </c>
      <c r="P335" s="19">
        <f t="shared" si="204"/>
        <v>3467</v>
      </c>
      <c r="Q335" s="19">
        <f t="shared" si="205"/>
        <v>88019</v>
      </c>
      <c r="R335" s="6">
        <f t="shared" si="206"/>
        <v>555</v>
      </c>
      <c r="S335" s="6"/>
      <c r="T335" s="6"/>
      <c r="U335" s="126">
        <f t="shared" si="207"/>
        <v>429</v>
      </c>
      <c r="V335" s="126">
        <f t="shared" si="208"/>
        <v>99</v>
      </c>
      <c r="W335" s="6"/>
      <c r="X335" s="6"/>
      <c r="Y335" s="6"/>
      <c r="Z335" s="6"/>
      <c r="AA335" s="19">
        <f t="shared" si="209"/>
        <v>89102</v>
      </c>
      <c r="AB335" s="19">
        <f t="shared" si="210"/>
        <v>96018</v>
      </c>
      <c r="AC335" s="15">
        <f t="shared" ref="AC335:AC347" si="222">AB335/D335</f>
        <v>76.81</v>
      </c>
      <c r="AD335" s="15">
        <f t="shared" ref="AD335:AD347" si="223">AC335*D335</f>
        <v>96012.5</v>
      </c>
      <c r="AE335" s="25"/>
      <c r="AF335" s="157">
        <f t="shared" si="217"/>
        <v>-5.5</v>
      </c>
    </row>
    <row r="336" spans="1:32" s="4" customFormat="1" x14ac:dyDescent="0.25">
      <c r="A336" s="65" t="s">
        <v>794</v>
      </c>
      <c r="B336" s="55" t="s">
        <v>804</v>
      </c>
      <c r="C336" s="16" t="s">
        <v>70</v>
      </c>
      <c r="D336" s="13">
        <f>670</f>
        <v>670</v>
      </c>
      <c r="E336" s="14">
        <f t="shared" si="221"/>
        <v>4.8499999999999996</v>
      </c>
      <c r="F336" s="14"/>
      <c r="G336" s="14"/>
      <c r="H336" s="22">
        <v>3252</v>
      </c>
      <c r="I336" s="15"/>
      <c r="J336" s="15"/>
      <c r="K336" s="15"/>
      <c r="L336" s="15"/>
      <c r="M336" s="22"/>
      <c r="N336" s="22"/>
      <c r="O336" s="22">
        <f t="shared" si="203"/>
        <v>29658</v>
      </c>
      <c r="P336" s="19">
        <f t="shared" si="204"/>
        <v>1216</v>
      </c>
      <c r="Q336" s="19">
        <f t="shared" si="205"/>
        <v>30874</v>
      </c>
      <c r="R336" s="6">
        <f t="shared" si="206"/>
        <v>195</v>
      </c>
      <c r="S336" s="6"/>
      <c r="T336" s="6"/>
      <c r="U336" s="126">
        <f t="shared" si="207"/>
        <v>151</v>
      </c>
      <c r="V336" s="126">
        <f t="shared" si="208"/>
        <v>35</v>
      </c>
      <c r="W336" s="6"/>
      <c r="X336" s="6"/>
      <c r="Y336" s="6"/>
      <c r="Z336" s="6"/>
      <c r="AA336" s="19">
        <f t="shared" si="209"/>
        <v>31255</v>
      </c>
      <c r="AB336" s="19">
        <f t="shared" si="210"/>
        <v>33681</v>
      </c>
      <c r="AC336" s="15">
        <f t="shared" si="222"/>
        <v>50.27</v>
      </c>
      <c r="AD336" s="15">
        <f t="shared" si="223"/>
        <v>33680.9</v>
      </c>
      <c r="AE336" s="25"/>
      <c r="AF336" s="157">
        <f t="shared" si="217"/>
        <v>-0.1</v>
      </c>
    </row>
    <row r="337" spans="1:32" s="4" customFormat="1" ht="25.5" x14ac:dyDescent="0.25">
      <c r="A337" s="65" t="s">
        <v>795</v>
      </c>
      <c r="B337" s="55" t="s">
        <v>805</v>
      </c>
      <c r="C337" s="16" t="s">
        <v>70</v>
      </c>
      <c r="D337" s="13">
        <v>18</v>
      </c>
      <c r="E337" s="14">
        <f t="shared" si="221"/>
        <v>372.28</v>
      </c>
      <c r="F337" s="14"/>
      <c r="G337" s="14"/>
      <c r="H337" s="22">
        <v>6701</v>
      </c>
      <c r="I337" s="15"/>
      <c r="J337" s="15"/>
      <c r="K337" s="15"/>
      <c r="L337" s="15"/>
      <c r="M337" s="22"/>
      <c r="N337" s="22"/>
      <c r="O337" s="22">
        <f t="shared" si="203"/>
        <v>61113</v>
      </c>
      <c r="P337" s="19">
        <f t="shared" si="204"/>
        <v>2506</v>
      </c>
      <c r="Q337" s="19">
        <f t="shared" si="205"/>
        <v>63619</v>
      </c>
      <c r="R337" s="6">
        <f t="shared" si="206"/>
        <v>401</v>
      </c>
      <c r="S337" s="6"/>
      <c r="T337" s="6"/>
      <c r="U337" s="126">
        <f t="shared" si="207"/>
        <v>310</v>
      </c>
      <c r="V337" s="126">
        <f t="shared" si="208"/>
        <v>71</v>
      </c>
      <c r="W337" s="6"/>
      <c r="X337" s="6"/>
      <c r="Y337" s="6"/>
      <c r="Z337" s="6"/>
      <c r="AA337" s="19">
        <f t="shared" si="209"/>
        <v>64401</v>
      </c>
      <c r="AB337" s="19">
        <f t="shared" si="210"/>
        <v>69400</v>
      </c>
      <c r="AC337" s="15">
        <f t="shared" si="222"/>
        <v>3855.56</v>
      </c>
      <c r="AD337" s="15">
        <f t="shared" si="223"/>
        <v>69400.08</v>
      </c>
      <c r="AE337" s="25"/>
      <c r="AF337" s="157">
        <f t="shared" si="217"/>
        <v>0.08</v>
      </c>
    </row>
    <row r="338" spans="1:32" s="4" customFormat="1" ht="25.5" x14ac:dyDescent="0.25">
      <c r="A338" s="65" t="s">
        <v>796</v>
      </c>
      <c r="B338" s="55" t="s">
        <v>801</v>
      </c>
      <c r="C338" s="16" t="s">
        <v>72</v>
      </c>
      <c r="D338" s="139">
        <f>543</f>
        <v>543</v>
      </c>
      <c r="E338" s="14">
        <f t="shared" si="221"/>
        <v>21.37</v>
      </c>
      <c r="F338" s="14"/>
      <c r="G338" s="14"/>
      <c r="H338" s="22">
        <v>11603</v>
      </c>
      <c r="I338" s="15"/>
      <c r="J338" s="15"/>
      <c r="K338" s="15"/>
      <c r="L338" s="15"/>
      <c r="M338" s="22"/>
      <c r="N338" s="22"/>
      <c r="O338" s="22">
        <f t="shared" si="203"/>
        <v>105819</v>
      </c>
      <c r="P338" s="19">
        <f t="shared" si="204"/>
        <v>4339</v>
      </c>
      <c r="Q338" s="19">
        <f t="shared" si="205"/>
        <v>110158</v>
      </c>
      <c r="R338" s="6">
        <f t="shared" si="206"/>
        <v>694</v>
      </c>
      <c r="S338" s="6"/>
      <c r="T338" s="6"/>
      <c r="U338" s="126">
        <f t="shared" si="207"/>
        <v>537</v>
      </c>
      <c r="V338" s="126">
        <f t="shared" si="208"/>
        <v>123</v>
      </c>
      <c r="W338" s="6"/>
      <c r="X338" s="6"/>
      <c r="Y338" s="6"/>
      <c r="Z338" s="6"/>
      <c r="AA338" s="19">
        <f t="shared" si="209"/>
        <v>111512</v>
      </c>
      <c r="AB338" s="19">
        <f t="shared" si="210"/>
        <v>120168</v>
      </c>
      <c r="AC338" s="15">
        <f t="shared" si="222"/>
        <v>221.3</v>
      </c>
      <c r="AD338" s="15">
        <f t="shared" si="223"/>
        <v>120165.9</v>
      </c>
      <c r="AE338" s="25"/>
      <c r="AF338" s="157">
        <f t="shared" si="217"/>
        <v>-2.1</v>
      </c>
    </row>
    <row r="339" spans="1:32" s="4" customFormat="1" ht="25.5" x14ac:dyDescent="0.25">
      <c r="A339" s="65" t="s">
        <v>797</v>
      </c>
      <c r="B339" s="55" t="s">
        <v>802</v>
      </c>
      <c r="C339" s="16" t="s">
        <v>70</v>
      </c>
      <c r="D339" s="139">
        <f>117</f>
        <v>117</v>
      </c>
      <c r="E339" s="14">
        <f t="shared" si="221"/>
        <v>946.85</v>
      </c>
      <c r="F339" s="14"/>
      <c r="G339" s="14"/>
      <c r="H339" s="22">
        <v>110782</v>
      </c>
      <c r="I339" s="15"/>
      <c r="J339" s="15"/>
      <c r="K339" s="15"/>
      <c r="L339" s="15"/>
      <c r="M339" s="22"/>
      <c r="N339" s="22"/>
      <c r="O339" s="22">
        <f t="shared" si="203"/>
        <v>1010332</v>
      </c>
      <c r="P339" s="19">
        <f t="shared" si="204"/>
        <v>41424</v>
      </c>
      <c r="Q339" s="19">
        <f t="shared" si="205"/>
        <v>1051756</v>
      </c>
      <c r="R339" s="6">
        <f t="shared" si="206"/>
        <v>6626</v>
      </c>
      <c r="S339" s="6"/>
      <c r="T339" s="6"/>
      <c r="U339" s="126">
        <f t="shared" si="207"/>
        <v>5130</v>
      </c>
      <c r="V339" s="126">
        <f t="shared" si="208"/>
        <v>1177</v>
      </c>
      <c r="W339" s="6"/>
      <c r="X339" s="6"/>
      <c r="Y339" s="6"/>
      <c r="Z339" s="6"/>
      <c r="AA339" s="19">
        <f t="shared" si="209"/>
        <v>1064689</v>
      </c>
      <c r="AB339" s="19">
        <f t="shared" si="210"/>
        <v>1147330</v>
      </c>
      <c r="AC339" s="15">
        <f t="shared" si="222"/>
        <v>9806.24</v>
      </c>
      <c r="AD339" s="15">
        <f t="shared" si="223"/>
        <v>1147330.08</v>
      </c>
      <c r="AE339" s="25"/>
      <c r="AF339" s="157">
        <f t="shared" si="217"/>
        <v>0.08</v>
      </c>
    </row>
    <row r="340" spans="1:32" s="4" customFormat="1" ht="25.5" x14ac:dyDescent="0.25">
      <c r="A340" s="65" t="s">
        <v>798</v>
      </c>
      <c r="B340" s="55" t="s">
        <v>803</v>
      </c>
      <c r="C340" s="16" t="s">
        <v>72</v>
      </c>
      <c r="D340" s="139">
        <f>192</f>
        <v>192</v>
      </c>
      <c r="E340" s="14">
        <f t="shared" si="221"/>
        <v>381.44</v>
      </c>
      <c r="F340" s="14"/>
      <c r="G340" s="14"/>
      <c r="H340" s="22">
        <v>73237</v>
      </c>
      <c r="I340" s="15"/>
      <c r="J340" s="15"/>
      <c r="K340" s="15"/>
      <c r="L340" s="15"/>
      <c r="M340" s="22"/>
      <c r="N340" s="22"/>
      <c r="O340" s="22">
        <f t="shared" si="203"/>
        <v>667921</v>
      </c>
      <c r="P340" s="19">
        <f t="shared" si="204"/>
        <v>27385</v>
      </c>
      <c r="Q340" s="19">
        <f t="shared" si="205"/>
        <v>695306</v>
      </c>
      <c r="R340" s="6">
        <f t="shared" si="206"/>
        <v>4380</v>
      </c>
      <c r="S340" s="6"/>
      <c r="T340" s="6"/>
      <c r="U340" s="126">
        <f t="shared" si="207"/>
        <v>3391</v>
      </c>
      <c r="V340" s="126">
        <f t="shared" si="208"/>
        <v>778</v>
      </c>
      <c r="W340" s="6"/>
      <c r="X340" s="6"/>
      <c r="Y340" s="6"/>
      <c r="Z340" s="6"/>
      <c r="AA340" s="19">
        <f t="shared" si="209"/>
        <v>703855</v>
      </c>
      <c r="AB340" s="19">
        <f t="shared" si="210"/>
        <v>758488</v>
      </c>
      <c r="AC340" s="15">
        <f t="shared" si="222"/>
        <v>3950.46</v>
      </c>
      <c r="AD340" s="15">
        <f t="shared" si="223"/>
        <v>758488.32</v>
      </c>
      <c r="AE340" s="25"/>
      <c r="AF340" s="157">
        <f t="shared" si="217"/>
        <v>0.32</v>
      </c>
    </row>
    <row r="341" spans="1:32" s="4" customFormat="1" x14ac:dyDescent="0.25">
      <c r="A341" s="65" t="s">
        <v>799</v>
      </c>
      <c r="B341" s="173" t="s">
        <v>496</v>
      </c>
      <c r="C341" s="16" t="s">
        <v>468</v>
      </c>
      <c r="D341" s="139">
        <v>178.68</v>
      </c>
      <c r="E341" s="14">
        <f t="shared" si="221"/>
        <v>31170.57</v>
      </c>
      <c r="F341" s="14"/>
      <c r="G341" s="14"/>
      <c r="H341" s="22">
        <v>5569558</v>
      </c>
      <c r="I341" s="15"/>
      <c r="J341" s="15"/>
      <c r="K341" s="15"/>
      <c r="L341" s="15"/>
      <c r="M341" s="22"/>
      <c r="N341" s="22"/>
      <c r="O341" s="22">
        <f t="shared" si="203"/>
        <v>50794369</v>
      </c>
      <c r="P341" s="19">
        <f t="shared" si="204"/>
        <v>2082569</v>
      </c>
      <c r="Q341" s="19">
        <f t="shared" si="205"/>
        <v>52876938</v>
      </c>
      <c r="R341" s="6">
        <f t="shared" si="206"/>
        <v>333125</v>
      </c>
      <c r="S341" s="6"/>
      <c r="T341" s="6"/>
      <c r="U341" s="126">
        <f t="shared" si="207"/>
        <v>257904</v>
      </c>
      <c r="V341" s="126">
        <f t="shared" si="208"/>
        <v>59193</v>
      </c>
      <c r="W341" s="6"/>
      <c r="X341" s="6"/>
      <c r="Y341" s="6"/>
      <c r="Z341" s="6"/>
      <c r="AA341" s="19">
        <f t="shared" si="209"/>
        <v>53527160</v>
      </c>
      <c r="AB341" s="19">
        <f t="shared" si="210"/>
        <v>57681938</v>
      </c>
      <c r="AC341" s="15">
        <f t="shared" si="222"/>
        <v>322822.58</v>
      </c>
      <c r="AD341" s="15">
        <f t="shared" si="223"/>
        <v>57681938.590000004</v>
      </c>
      <c r="AE341" s="25"/>
      <c r="AF341" s="157">
        <f t="shared" si="217"/>
        <v>0.59</v>
      </c>
    </row>
    <row r="342" spans="1:32" s="4" customFormat="1" x14ac:dyDescent="0.25">
      <c r="A342" s="65" t="s">
        <v>800</v>
      </c>
      <c r="B342" s="55" t="s">
        <v>132</v>
      </c>
      <c r="C342" s="16" t="s">
        <v>70</v>
      </c>
      <c r="D342" s="13">
        <v>23.9</v>
      </c>
      <c r="E342" s="14">
        <f t="shared" si="221"/>
        <v>5445.52</v>
      </c>
      <c r="F342" s="14"/>
      <c r="G342" s="14"/>
      <c r="H342" s="22">
        <v>130148</v>
      </c>
      <c r="I342" s="15"/>
      <c r="J342" s="15"/>
      <c r="K342" s="15"/>
      <c r="L342" s="15"/>
      <c r="M342" s="22"/>
      <c r="N342" s="22"/>
      <c r="O342" s="22">
        <f t="shared" si="203"/>
        <v>1186950</v>
      </c>
      <c r="P342" s="19">
        <f t="shared" si="204"/>
        <v>48665</v>
      </c>
      <c r="Q342" s="19">
        <f t="shared" si="205"/>
        <v>1235615</v>
      </c>
      <c r="R342" s="6">
        <f t="shared" si="206"/>
        <v>7784</v>
      </c>
      <c r="S342" s="6"/>
      <c r="T342" s="6"/>
      <c r="U342" s="126">
        <f t="shared" si="207"/>
        <v>6027</v>
      </c>
      <c r="V342" s="126">
        <f t="shared" si="208"/>
        <v>1383</v>
      </c>
      <c r="W342" s="6"/>
      <c r="X342" s="6"/>
      <c r="Y342" s="6"/>
      <c r="Z342" s="6"/>
      <c r="AA342" s="19">
        <f t="shared" si="209"/>
        <v>1250809</v>
      </c>
      <c r="AB342" s="19">
        <f t="shared" si="210"/>
        <v>1347897</v>
      </c>
      <c r="AC342" s="15">
        <f t="shared" si="222"/>
        <v>56397.36</v>
      </c>
      <c r="AD342" s="15">
        <f t="shared" si="223"/>
        <v>1347896.9</v>
      </c>
      <c r="AE342" s="25"/>
      <c r="AF342" s="157">
        <f t="shared" si="217"/>
        <v>-0.1</v>
      </c>
    </row>
    <row r="343" spans="1:32" s="4" customFormat="1" ht="25.5" x14ac:dyDescent="0.25">
      <c r="A343" s="65" t="s">
        <v>806</v>
      </c>
      <c r="B343" s="55" t="s">
        <v>501</v>
      </c>
      <c r="C343" s="16" t="s">
        <v>72</v>
      </c>
      <c r="D343" s="13">
        <f>45.6+45.8+423.2</f>
        <v>514.6</v>
      </c>
      <c r="E343" s="14">
        <f t="shared" si="221"/>
        <v>162.91</v>
      </c>
      <c r="F343" s="14"/>
      <c r="G343" s="14"/>
      <c r="H343" s="22">
        <v>83832</v>
      </c>
      <c r="I343" s="15"/>
      <c r="J343" s="15"/>
      <c r="K343" s="15"/>
      <c r="L343" s="15"/>
      <c r="M343" s="22"/>
      <c r="N343" s="22"/>
      <c r="O343" s="22">
        <f t="shared" si="203"/>
        <v>764548</v>
      </c>
      <c r="P343" s="19">
        <f t="shared" si="204"/>
        <v>31346</v>
      </c>
      <c r="Q343" s="19">
        <f t="shared" si="205"/>
        <v>795894</v>
      </c>
      <c r="R343" s="6">
        <f t="shared" si="206"/>
        <v>5014</v>
      </c>
      <c r="S343" s="6"/>
      <c r="T343" s="6"/>
      <c r="U343" s="126">
        <f t="shared" si="207"/>
        <v>3882</v>
      </c>
      <c r="V343" s="126">
        <f t="shared" si="208"/>
        <v>891</v>
      </c>
      <c r="W343" s="6"/>
      <c r="X343" s="6"/>
      <c r="Y343" s="6"/>
      <c r="Z343" s="6"/>
      <c r="AA343" s="19">
        <f t="shared" si="209"/>
        <v>805681</v>
      </c>
      <c r="AB343" s="19">
        <f t="shared" si="210"/>
        <v>868218</v>
      </c>
      <c r="AC343" s="15">
        <f t="shared" si="222"/>
        <v>1687.17</v>
      </c>
      <c r="AD343" s="15">
        <f t="shared" si="223"/>
        <v>868217.68</v>
      </c>
      <c r="AE343" s="25"/>
      <c r="AF343" s="157">
        <f t="shared" si="217"/>
        <v>-0.32</v>
      </c>
    </row>
    <row r="344" spans="1:32" s="4" customFormat="1" ht="25.5" x14ac:dyDescent="0.25">
      <c r="A344" s="65" t="s">
        <v>807</v>
      </c>
      <c r="B344" s="55" t="s">
        <v>503</v>
      </c>
      <c r="C344" s="16" t="s">
        <v>72</v>
      </c>
      <c r="D344" s="13">
        <f>531.3</f>
        <v>531.29999999999995</v>
      </c>
      <c r="E344" s="14">
        <f t="shared" si="221"/>
        <v>182.43</v>
      </c>
      <c r="F344" s="14"/>
      <c r="G344" s="14"/>
      <c r="H344" s="22">
        <v>96926</v>
      </c>
      <c r="I344" s="15"/>
      <c r="J344" s="15"/>
      <c r="K344" s="15"/>
      <c r="L344" s="15"/>
      <c r="M344" s="22"/>
      <c r="N344" s="22"/>
      <c r="O344" s="22">
        <f t="shared" si="203"/>
        <v>883965</v>
      </c>
      <c r="P344" s="19">
        <f t="shared" si="204"/>
        <v>36243</v>
      </c>
      <c r="Q344" s="19">
        <f t="shared" si="205"/>
        <v>920208</v>
      </c>
      <c r="R344" s="6">
        <f t="shared" si="206"/>
        <v>5797</v>
      </c>
      <c r="S344" s="6"/>
      <c r="T344" s="6"/>
      <c r="U344" s="126">
        <f t="shared" si="207"/>
        <v>4488</v>
      </c>
      <c r="V344" s="126">
        <f t="shared" si="208"/>
        <v>1030</v>
      </c>
      <c r="W344" s="6"/>
      <c r="X344" s="6"/>
      <c r="Y344" s="6"/>
      <c r="Z344" s="6"/>
      <c r="AA344" s="19">
        <f t="shared" si="209"/>
        <v>931523</v>
      </c>
      <c r="AB344" s="19">
        <f t="shared" si="210"/>
        <v>1003828</v>
      </c>
      <c r="AC344" s="15">
        <f t="shared" si="222"/>
        <v>1889.38</v>
      </c>
      <c r="AD344" s="15">
        <f t="shared" si="223"/>
        <v>1003827.59</v>
      </c>
      <c r="AE344" s="25"/>
      <c r="AF344" s="157">
        <f t="shared" si="217"/>
        <v>-0.41</v>
      </c>
    </row>
    <row r="345" spans="1:32" s="4" customFormat="1" x14ac:dyDescent="0.25">
      <c r="A345" s="65" t="s">
        <v>808</v>
      </c>
      <c r="B345" s="55" t="s">
        <v>505</v>
      </c>
      <c r="C345" s="16" t="s">
        <v>70</v>
      </c>
      <c r="D345" s="13">
        <f>2.2+26.7</f>
        <v>28.9</v>
      </c>
      <c r="E345" s="14">
        <f t="shared" si="221"/>
        <v>1154.3900000000001</v>
      </c>
      <c r="F345" s="14"/>
      <c r="G345" s="14"/>
      <c r="H345" s="22">
        <v>33362</v>
      </c>
      <c r="I345" s="15"/>
      <c r="J345" s="15"/>
      <c r="K345" s="15"/>
      <c r="L345" s="15"/>
      <c r="M345" s="22"/>
      <c r="N345" s="22"/>
      <c r="O345" s="22">
        <f t="shared" si="203"/>
        <v>304261</v>
      </c>
      <c r="P345" s="19">
        <f t="shared" si="204"/>
        <v>12475</v>
      </c>
      <c r="Q345" s="19">
        <f t="shared" si="205"/>
        <v>316736</v>
      </c>
      <c r="R345" s="6">
        <f t="shared" si="206"/>
        <v>1995</v>
      </c>
      <c r="S345" s="6"/>
      <c r="T345" s="6"/>
      <c r="U345" s="126">
        <f t="shared" si="207"/>
        <v>1545</v>
      </c>
      <c r="V345" s="126">
        <f t="shared" si="208"/>
        <v>355</v>
      </c>
      <c r="W345" s="6"/>
      <c r="X345" s="6"/>
      <c r="Y345" s="6"/>
      <c r="Z345" s="6"/>
      <c r="AA345" s="19">
        <f t="shared" si="209"/>
        <v>320631</v>
      </c>
      <c r="AB345" s="19">
        <f t="shared" si="210"/>
        <v>345518</v>
      </c>
      <c r="AC345" s="15">
        <f t="shared" si="222"/>
        <v>11955.64</v>
      </c>
      <c r="AD345" s="15">
        <f t="shared" si="223"/>
        <v>345518</v>
      </c>
      <c r="AE345" s="25"/>
      <c r="AF345" s="157">
        <f t="shared" si="217"/>
        <v>0</v>
      </c>
    </row>
    <row r="346" spans="1:32" s="4" customFormat="1" x14ac:dyDescent="0.25">
      <c r="A346" s="65" t="s">
        <v>809</v>
      </c>
      <c r="B346" s="55" t="s">
        <v>507</v>
      </c>
      <c r="C346" s="16" t="s">
        <v>72</v>
      </c>
      <c r="D346" s="13">
        <f>337</f>
        <v>337</v>
      </c>
      <c r="E346" s="14">
        <f t="shared" si="221"/>
        <v>175.73</v>
      </c>
      <c r="F346" s="14"/>
      <c r="G346" s="14"/>
      <c r="H346" s="22">
        <v>59221</v>
      </c>
      <c r="I346" s="15"/>
      <c r="J346" s="15"/>
      <c r="K346" s="15"/>
      <c r="L346" s="15"/>
      <c r="M346" s="22"/>
      <c r="N346" s="22"/>
      <c r="O346" s="22">
        <f t="shared" si="203"/>
        <v>540096</v>
      </c>
      <c r="P346" s="19">
        <f t="shared" si="204"/>
        <v>22144</v>
      </c>
      <c r="Q346" s="19">
        <f t="shared" si="205"/>
        <v>562240</v>
      </c>
      <c r="R346" s="6">
        <f t="shared" si="206"/>
        <v>3542</v>
      </c>
      <c r="S346" s="6"/>
      <c r="T346" s="6"/>
      <c r="U346" s="126">
        <f t="shared" si="207"/>
        <v>2742</v>
      </c>
      <c r="V346" s="126">
        <f t="shared" si="208"/>
        <v>629</v>
      </c>
      <c r="W346" s="6"/>
      <c r="X346" s="6"/>
      <c r="Y346" s="6"/>
      <c r="Z346" s="6"/>
      <c r="AA346" s="19">
        <f t="shared" si="209"/>
        <v>569153</v>
      </c>
      <c r="AB346" s="19">
        <f t="shared" si="210"/>
        <v>613331</v>
      </c>
      <c r="AC346" s="15">
        <f t="shared" si="222"/>
        <v>1819.97</v>
      </c>
      <c r="AD346" s="15">
        <f t="shared" si="223"/>
        <v>613329.89</v>
      </c>
      <c r="AE346" s="25"/>
      <c r="AF346" s="157">
        <f t="shared" si="217"/>
        <v>-1.1100000000000001</v>
      </c>
    </row>
    <row r="347" spans="1:32" s="4" customFormat="1" x14ac:dyDescent="0.25">
      <c r="A347" s="65" t="s">
        <v>810</v>
      </c>
      <c r="B347" s="55" t="s">
        <v>509</v>
      </c>
      <c r="C347" s="16" t="s">
        <v>70</v>
      </c>
      <c r="D347" s="13">
        <f>105.5+54</f>
        <v>159.5</v>
      </c>
      <c r="E347" s="14">
        <f t="shared" si="221"/>
        <v>290.02999999999997</v>
      </c>
      <c r="F347" s="14"/>
      <c r="G347" s="14"/>
      <c r="H347" s="22">
        <v>46260</v>
      </c>
      <c r="I347" s="15"/>
      <c r="J347" s="15"/>
      <c r="K347" s="15"/>
      <c r="L347" s="15"/>
      <c r="M347" s="22"/>
      <c r="N347" s="22"/>
      <c r="O347" s="22">
        <f t="shared" si="203"/>
        <v>421891</v>
      </c>
      <c r="P347" s="19">
        <f t="shared" si="204"/>
        <v>17298</v>
      </c>
      <c r="Q347" s="19">
        <f t="shared" si="205"/>
        <v>439189</v>
      </c>
      <c r="R347" s="6">
        <f t="shared" si="206"/>
        <v>2767</v>
      </c>
      <c r="S347" s="6"/>
      <c r="T347" s="6"/>
      <c r="U347" s="126">
        <f t="shared" si="207"/>
        <v>2142</v>
      </c>
      <c r="V347" s="126">
        <f t="shared" si="208"/>
        <v>492</v>
      </c>
      <c r="W347" s="6"/>
      <c r="X347" s="6"/>
      <c r="Y347" s="6"/>
      <c r="Z347" s="6"/>
      <c r="AA347" s="19">
        <f t="shared" si="209"/>
        <v>444590</v>
      </c>
      <c r="AB347" s="19">
        <f t="shared" si="210"/>
        <v>479099</v>
      </c>
      <c r="AC347" s="15">
        <f t="shared" si="222"/>
        <v>3003.76</v>
      </c>
      <c r="AD347" s="15">
        <f t="shared" si="223"/>
        <v>479099.72</v>
      </c>
      <c r="AE347" s="25"/>
      <c r="AF347" s="157">
        <f t="shared" si="217"/>
        <v>0.72</v>
      </c>
    </row>
    <row r="348" spans="1:32" s="43" customFormat="1" x14ac:dyDescent="0.25">
      <c r="A348" s="23" t="s">
        <v>811</v>
      </c>
      <c r="B348" s="17" t="s">
        <v>491</v>
      </c>
      <c r="C348" s="24"/>
      <c r="D348" s="13"/>
      <c r="E348" s="45"/>
      <c r="F348" s="45"/>
      <c r="G348" s="45"/>
      <c r="H348" s="44"/>
      <c r="I348" s="15"/>
      <c r="J348" s="15"/>
      <c r="K348" s="15"/>
      <c r="L348" s="15"/>
      <c r="M348" s="44"/>
      <c r="N348" s="44"/>
      <c r="O348" s="22"/>
      <c r="P348" s="19"/>
      <c r="Q348" s="19"/>
      <c r="R348" s="6"/>
      <c r="S348" s="6"/>
      <c r="T348" s="6"/>
      <c r="U348" s="126"/>
      <c r="V348" s="126"/>
      <c r="W348" s="6"/>
      <c r="X348" s="6"/>
      <c r="Y348" s="6"/>
      <c r="Z348" s="6"/>
      <c r="AA348" s="19"/>
      <c r="AB348" s="19"/>
      <c r="AC348" s="15"/>
      <c r="AD348" s="15"/>
      <c r="AE348" s="25"/>
      <c r="AF348" s="157">
        <f t="shared" si="217"/>
        <v>0</v>
      </c>
    </row>
    <row r="349" spans="1:32" s="4" customFormat="1" x14ac:dyDescent="0.25">
      <c r="A349" s="64" t="s">
        <v>812</v>
      </c>
      <c r="B349" s="55" t="s">
        <v>491</v>
      </c>
      <c r="C349" s="16" t="s">
        <v>311</v>
      </c>
      <c r="D349" s="47">
        <v>50.2</v>
      </c>
      <c r="E349" s="45">
        <f>H349/D349</f>
        <v>46101.43</v>
      </c>
      <c r="F349" s="45"/>
      <c r="G349" s="45"/>
      <c r="H349" s="44">
        <v>2314292</v>
      </c>
      <c r="I349" s="15"/>
      <c r="J349" s="15"/>
      <c r="K349" s="15"/>
      <c r="L349" s="15"/>
      <c r="M349" s="44"/>
      <c r="N349" s="44"/>
      <c r="O349" s="22">
        <f t="shared" si="203"/>
        <v>21106343</v>
      </c>
      <c r="P349" s="19">
        <f t="shared" si="204"/>
        <v>865360</v>
      </c>
      <c r="Q349" s="19">
        <f t="shared" si="205"/>
        <v>21971703</v>
      </c>
      <c r="R349" s="6">
        <f t="shared" si="206"/>
        <v>138422</v>
      </c>
      <c r="S349" s="6"/>
      <c r="T349" s="6"/>
      <c r="U349" s="126">
        <f t="shared" si="207"/>
        <v>107166</v>
      </c>
      <c r="V349" s="126">
        <f t="shared" si="208"/>
        <v>24596</v>
      </c>
      <c r="W349" s="6"/>
      <c r="X349" s="6"/>
      <c r="Y349" s="6"/>
      <c r="Z349" s="6"/>
      <c r="AA349" s="19">
        <f t="shared" si="209"/>
        <v>22241887</v>
      </c>
      <c r="AB349" s="19">
        <f t="shared" si="210"/>
        <v>23968302</v>
      </c>
      <c r="AC349" s="15">
        <f>AB349/D349</f>
        <v>477456.22</v>
      </c>
      <c r="AD349" s="15">
        <f>AC349*D349</f>
        <v>23968302.239999998</v>
      </c>
      <c r="AE349" s="25"/>
      <c r="AF349" s="157">
        <f t="shared" si="217"/>
        <v>0.24</v>
      </c>
    </row>
    <row r="350" spans="1:32" s="4" customFormat="1" x14ac:dyDescent="0.25">
      <c r="A350" s="10" t="s">
        <v>133</v>
      </c>
      <c r="B350" s="17" t="s">
        <v>134</v>
      </c>
      <c r="C350" s="12"/>
      <c r="D350" s="13"/>
      <c r="E350" s="18"/>
      <c r="F350" s="18"/>
      <c r="G350" s="18"/>
      <c r="H350" s="22"/>
      <c r="I350" s="15"/>
      <c r="J350" s="15"/>
      <c r="K350" s="15"/>
      <c r="L350" s="15"/>
      <c r="M350" s="22"/>
      <c r="N350" s="22"/>
      <c r="O350" s="22"/>
      <c r="P350" s="19"/>
      <c r="Q350" s="19"/>
      <c r="R350" s="6"/>
      <c r="S350" s="6"/>
      <c r="T350" s="6"/>
      <c r="U350" s="6"/>
      <c r="V350" s="6"/>
      <c r="W350" s="6"/>
      <c r="X350" s="6"/>
      <c r="Y350" s="6"/>
      <c r="Z350" s="6"/>
      <c r="AA350" s="19"/>
      <c r="AB350" s="19"/>
      <c r="AC350" s="15"/>
      <c r="AD350" s="15"/>
      <c r="AE350" s="25"/>
      <c r="AF350" s="157">
        <f t="shared" si="217"/>
        <v>0</v>
      </c>
    </row>
    <row r="351" spans="1:32" s="4" customFormat="1" x14ac:dyDescent="0.25">
      <c r="A351" s="10" t="s">
        <v>135</v>
      </c>
      <c r="B351" s="17" t="s">
        <v>243</v>
      </c>
      <c r="C351" s="12"/>
      <c r="D351" s="13"/>
      <c r="E351" s="18"/>
      <c r="F351" s="18"/>
      <c r="G351" s="18"/>
      <c r="H351" s="22"/>
      <c r="I351" s="15"/>
      <c r="J351" s="15"/>
      <c r="K351" s="15"/>
      <c r="L351" s="15"/>
      <c r="M351" s="22"/>
      <c r="N351" s="22"/>
      <c r="O351" s="22"/>
      <c r="P351" s="19"/>
      <c r="Q351" s="19"/>
      <c r="R351" s="6"/>
      <c r="S351" s="6"/>
      <c r="T351" s="6"/>
      <c r="U351" s="6"/>
      <c r="V351" s="6"/>
      <c r="W351" s="6"/>
      <c r="X351" s="6"/>
      <c r="Y351" s="6"/>
      <c r="Z351" s="6"/>
      <c r="AA351" s="19"/>
      <c r="AB351" s="19"/>
      <c r="AC351" s="15"/>
      <c r="AD351" s="15"/>
      <c r="AE351" s="25"/>
      <c r="AF351" s="157">
        <f t="shared" si="217"/>
        <v>0</v>
      </c>
    </row>
    <row r="352" spans="1:32" s="91" customFormat="1" ht="25.5" x14ac:dyDescent="0.25">
      <c r="A352" s="100" t="s">
        <v>136</v>
      </c>
      <c r="B352" s="101" t="s">
        <v>241</v>
      </c>
      <c r="C352" s="92"/>
      <c r="D352" s="93"/>
      <c r="E352" s="106"/>
      <c r="F352" s="106"/>
      <c r="G352" s="106"/>
      <c r="H352" s="99">
        <v>32286400</v>
      </c>
      <c r="I352" s="41"/>
      <c r="J352" s="20">
        <f>32286.4*1000</f>
        <v>32286400</v>
      </c>
      <c r="K352" s="20" t="s">
        <v>15</v>
      </c>
      <c r="L352" s="20">
        <f>H352-J352</f>
        <v>0</v>
      </c>
      <c r="M352" s="99">
        <v>313280980</v>
      </c>
      <c r="N352" s="50">
        <f>SUM(O354:O404)-M352</f>
        <v>85</v>
      </c>
      <c r="O352" s="99"/>
      <c r="P352" s="114"/>
      <c r="Q352" s="50"/>
      <c r="R352" s="50"/>
      <c r="S352" s="146"/>
      <c r="T352" s="146"/>
      <c r="U352" s="123"/>
      <c r="V352" s="123"/>
      <c r="W352" s="123"/>
      <c r="X352" s="104"/>
      <c r="Y352" s="6"/>
      <c r="Z352" s="104"/>
      <c r="AA352" s="50"/>
      <c r="AB352" s="50"/>
      <c r="AC352" s="20"/>
      <c r="AD352" s="20"/>
      <c r="AE352" s="97"/>
      <c r="AF352" s="157">
        <f t="shared" si="217"/>
        <v>0</v>
      </c>
    </row>
    <row r="353" spans="1:32" x14ac:dyDescent="0.2">
      <c r="A353" s="23" t="s">
        <v>137</v>
      </c>
      <c r="B353" s="57" t="s">
        <v>121</v>
      </c>
      <c r="C353" s="186"/>
      <c r="D353" s="15"/>
      <c r="E353" s="18"/>
      <c r="F353" s="18"/>
      <c r="G353" s="214">
        <f>872711.66/SUM(F354:F404)</f>
        <v>2.778125E-2</v>
      </c>
      <c r="H353" s="31">
        <f>H352-SUM(H354:H404)</f>
        <v>0</v>
      </c>
      <c r="I353" s="15"/>
      <c r="J353" s="22"/>
      <c r="K353" s="15"/>
      <c r="L353" s="15"/>
      <c r="M353" s="22"/>
      <c r="N353" s="22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25"/>
      <c r="AF353" s="157">
        <f t="shared" si="217"/>
        <v>0</v>
      </c>
    </row>
    <row r="354" spans="1:32" x14ac:dyDescent="0.2">
      <c r="A354" s="64" t="s">
        <v>138</v>
      </c>
      <c r="B354" s="162" t="s">
        <v>1296</v>
      </c>
      <c r="C354" s="16" t="s">
        <v>70</v>
      </c>
      <c r="D354" s="15">
        <v>285</v>
      </c>
      <c r="E354" s="18"/>
      <c r="F354" s="223">
        <v>6556103</v>
      </c>
      <c r="G354" s="215">
        <f>F354*$G$353</f>
        <v>182137</v>
      </c>
      <c r="H354" s="19">
        <f t="shared" ref="H354:H404" si="224">F354+G354</f>
        <v>6738240</v>
      </c>
      <c r="I354" s="15"/>
      <c r="J354" s="22"/>
      <c r="K354" s="15"/>
      <c r="L354" s="15"/>
      <c r="M354" s="22"/>
      <c r="N354" s="22"/>
      <c r="O354" s="159">
        <f>(H354-5930393.99)*13.55+5930393.99*13.55*0.4</f>
        <v>43089049</v>
      </c>
      <c r="P354" s="19">
        <f>O354*10.1%</f>
        <v>4351994</v>
      </c>
      <c r="Q354" s="19">
        <f>SUM(O354:P354)</f>
        <v>47441043</v>
      </c>
      <c r="R354" s="6">
        <f>Q354*1.05%</f>
        <v>498131</v>
      </c>
      <c r="S354" s="161">
        <f>Q354*$S$6</f>
        <v>29987</v>
      </c>
      <c r="T354" s="121">
        <f>Q354*$T$7</f>
        <v>45306</v>
      </c>
      <c r="U354" s="123">
        <f t="shared" ref="U354:U359" si="225">Q354*$U$7</f>
        <v>4278873</v>
      </c>
      <c r="V354" s="123">
        <f t="shared" ref="V354:V359" si="226">Q354*$V$7</f>
        <v>96931</v>
      </c>
      <c r="W354" s="123">
        <f t="shared" ref="W354:W359" si="227">Q354*$W$7</f>
        <v>2713453</v>
      </c>
      <c r="X354" s="6"/>
      <c r="Y354" s="6"/>
      <c r="Z354" s="6"/>
      <c r="AA354" s="19">
        <f t="shared" ref="AA354:AA359" si="228">SUM(Q354:Z354)</f>
        <v>55103724</v>
      </c>
      <c r="AB354" s="19">
        <f t="shared" ref="AB354:AB359" si="229">$AA354*AB$7</f>
        <v>59380875</v>
      </c>
      <c r="AC354" s="15">
        <f t="shared" ref="AC354:AC359" si="230">AB354/D354</f>
        <v>208353.95</v>
      </c>
      <c r="AD354" s="15">
        <f t="shared" ref="AD354:AD359" si="231">AC354*D354</f>
        <v>59380875.75</v>
      </c>
      <c r="AE354" s="25"/>
      <c r="AF354" s="157">
        <f t="shared" si="217"/>
        <v>0.75</v>
      </c>
    </row>
    <row r="355" spans="1:32" s="4" customFormat="1" x14ac:dyDescent="0.25">
      <c r="A355" s="64" t="s">
        <v>1129</v>
      </c>
      <c r="B355" s="69" t="s">
        <v>867</v>
      </c>
      <c r="C355" s="12" t="s">
        <v>70</v>
      </c>
      <c r="D355" s="13">
        <v>8.1999999999999993</v>
      </c>
      <c r="E355" s="18"/>
      <c r="F355" s="215">
        <v>7354.78</v>
      </c>
      <c r="G355" s="215">
        <f t="shared" ref="G355:G404" si="232">F355*$G$353</f>
        <v>204</v>
      </c>
      <c r="H355" s="19">
        <f t="shared" si="224"/>
        <v>7559</v>
      </c>
      <c r="I355" s="15"/>
      <c r="J355" s="22"/>
      <c r="K355" s="15"/>
      <c r="L355" s="15"/>
      <c r="M355" s="22"/>
      <c r="N355" s="22"/>
      <c r="O355" s="22">
        <f>H355*13.55</f>
        <v>102424</v>
      </c>
      <c r="P355" s="19">
        <f>O355*10.1%</f>
        <v>10345</v>
      </c>
      <c r="Q355" s="19">
        <f>SUM(O355:P355)</f>
        <v>112769</v>
      </c>
      <c r="R355" s="6">
        <f t="shared" ref="R355:R404" si="233">Q355*1.05%</f>
        <v>1184</v>
      </c>
      <c r="S355" s="6"/>
      <c r="T355" s="6"/>
      <c r="U355" s="123">
        <f t="shared" si="225"/>
        <v>10171</v>
      </c>
      <c r="V355" s="123">
        <f t="shared" si="226"/>
        <v>230</v>
      </c>
      <c r="W355" s="123">
        <f t="shared" si="227"/>
        <v>6450</v>
      </c>
      <c r="X355" s="6"/>
      <c r="Y355" s="6"/>
      <c r="Z355" s="6"/>
      <c r="AA355" s="19">
        <f t="shared" si="228"/>
        <v>130804</v>
      </c>
      <c r="AB355" s="19">
        <f t="shared" si="229"/>
        <v>140957</v>
      </c>
      <c r="AC355" s="15">
        <f t="shared" si="230"/>
        <v>17189.88</v>
      </c>
      <c r="AD355" s="15">
        <f t="shared" si="231"/>
        <v>140957.01999999999</v>
      </c>
      <c r="AE355" s="25"/>
      <c r="AF355" s="157">
        <f t="shared" si="217"/>
        <v>0.02</v>
      </c>
    </row>
    <row r="356" spans="1:32" s="4" customFormat="1" x14ac:dyDescent="0.25">
      <c r="A356" s="64" t="s">
        <v>1130</v>
      </c>
      <c r="B356" s="69" t="s">
        <v>870</v>
      </c>
      <c r="C356" s="12" t="s">
        <v>70</v>
      </c>
      <c r="D356" s="13">
        <v>75.400000000000006</v>
      </c>
      <c r="E356" s="18"/>
      <c r="F356" s="215">
        <v>262207.48</v>
      </c>
      <c r="G356" s="215">
        <f t="shared" si="232"/>
        <v>7284</v>
      </c>
      <c r="H356" s="19">
        <f t="shared" si="224"/>
        <v>269491</v>
      </c>
      <c r="I356" s="15"/>
      <c r="J356" s="22"/>
      <c r="K356" s="15"/>
      <c r="L356" s="15"/>
      <c r="M356" s="22"/>
      <c r="N356" s="22"/>
      <c r="O356" s="22">
        <f t="shared" ref="O356:O404" si="234">H356*13.55</f>
        <v>3651603</v>
      </c>
      <c r="P356" s="19">
        <f t="shared" ref="P356:P404" si="235">O356*10.1%</f>
        <v>368812</v>
      </c>
      <c r="Q356" s="19">
        <f t="shared" ref="Q356:Q359" si="236">SUM(O356:P356)</f>
        <v>4020415</v>
      </c>
      <c r="R356" s="6">
        <f t="shared" si="233"/>
        <v>42214</v>
      </c>
      <c r="S356" s="6"/>
      <c r="T356" s="6"/>
      <c r="U356" s="123">
        <f t="shared" si="225"/>
        <v>362615</v>
      </c>
      <c r="V356" s="123">
        <f t="shared" si="226"/>
        <v>8214</v>
      </c>
      <c r="W356" s="123">
        <f t="shared" si="227"/>
        <v>229953</v>
      </c>
      <c r="X356" s="6"/>
      <c r="Y356" s="6"/>
      <c r="Z356" s="6"/>
      <c r="AA356" s="19">
        <f t="shared" si="228"/>
        <v>4663411</v>
      </c>
      <c r="AB356" s="19">
        <f t="shared" si="229"/>
        <v>5025385</v>
      </c>
      <c r="AC356" s="15">
        <f t="shared" si="230"/>
        <v>66649.67</v>
      </c>
      <c r="AD356" s="15">
        <f t="shared" si="231"/>
        <v>5025385.12</v>
      </c>
      <c r="AE356" s="25"/>
      <c r="AF356" s="157">
        <f t="shared" si="217"/>
        <v>0.12</v>
      </c>
    </row>
    <row r="357" spans="1:32" s="4" customFormat="1" ht="38.25" x14ac:dyDescent="0.25">
      <c r="A357" s="64" t="s">
        <v>1131</v>
      </c>
      <c r="B357" s="69" t="s">
        <v>1034</v>
      </c>
      <c r="C357" s="12" t="s">
        <v>70</v>
      </c>
      <c r="D357" s="13">
        <v>46.5</v>
      </c>
      <c r="E357" s="18"/>
      <c r="F357" s="215">
        <v>357446.97</v>
      </c>
      <c r="G357" s="215">
        <f t="shared" si="232"/>
        <v>9930</v>
      </c>
      <c r="H357" s="19">
        <f t="shared" si="224"/>
        <v>367377</v>
      </c>
      <c r="I357" s="15"/>
      <c r="J357" s="22"/>
      <c r="K357" s="15"/>
      <c r="L357" s="15"/>
      <c r="M357" s="22"/>
      <c r="N357" s="22"/>
      <c r="O357" s="22">
        <f t="shared" si="234"/>
        <v>4977958</v>
      </c>
      <c r="P357" s="19">
        <f t="shared" si="235"/>
        <v>502774</v>
      </c>
      <c r="Q357" s="19">
        <f t="shared" si="236"/>
        <v>5480732</v>
      </c>
      <c r="R357" s="6">
        <f t="shared" si="233"/>
        <v>57548</v>
      </c>
      <c r="S357" s="6"/>
      <c r="T357" s="6"/>
      <c r="U357" s="123">
        <f t="shared" si="225"/>
        <v>494326</v>
      </c>
      <c r="V357" s="123">
        <f t="shared" si="226"/>
        <v>11198</v>
      </c>
      <c r="W357" s="123">
        <f t="shared" si="227"/>
        <v>313478</v>
      </c>
      <c r="X357" s="6"/>
      <c r="Y357" s="6"/>
      <c r="Z357" s="6"/>
      <c r="AA357" s="19">
        <f t="shared" si="228"/>
        <v>6357282</v>
      </c>
      <c r="AB357" s="19">
        <f t="shared" si="229"/>
        <v>6850734</v>
      </c>
      <c r="AC357" s="15">
        <f t="shared" si="230"/>
        <v>147327.60999999999</v>
      </c>
      <c r="AD357" s="15">
        <f t="shared" si="231"/>
        <v>6850733.8700000001</v>
      </c>
      <c r="AE357" s="25"/>
      <c r="AF357" s="157">
        <f t="shared" si="217"/>
        <v>-0.13</v>
      </c>
    </row>
    <row r="358" spans="1:32" s="4" customFormat="1" x14ac:dyDescent="0.25">
      <c r="A358" s="64" t="s">
        <v>1132</v>
      </c>
      <c r="B358" s="69" t="s">
        <v>872</v>
      </c>
      <c r="C358" s="12" t="s">
        <v>72</v>
      </c>
      <c r="D358" s="13">
        <v>210</v>
      </c>
      <c r="E358" s="18"/>
      <c r="F358" s="215">
        <v>18446</v>
      </c>
      <c r="G358" s="215">
        <f t="shared" si="232"/>
        <v>512</v>
      </c>
      <c r="H358" s="19">
        <f t="shared" si="224"/>
        <v>18958</v>
      </c>
      <c r="I358" s="15"/>
      <c r="J358" s="22"/>
      <c r="K358" s="15"/>
      <c r="L358" s="15"/>
      <c r="M358" s="22"/>
      <c r="N358" s="22"/>
      <c r="O358" s="22">
        <f t="shared" si="234"/>
        <v>256881</v>
      </c>
      <c r="P358" s="19">
        <f t="shared" si="235"/>
        <v>25945</v>
      </c>
      <c r="Q358" s="19">
        <f t="shared" si="236"/>
        <v>282826</v>
      </c>
      <c r="R358" s="6">
        <f t="shared" si="233"/>
        <v>2970</v>
      </c>
      <c r="S358" s="6"/>
      <c r="T358" s="6"/>
      <c r="U358" s="123">
        <f t="shared" si="225"/>
        <v>25509</v>
      </c>
      <c r="V358" s="123">
        <f t="shared" si="226"/>
        <v>578</v>
      </c>
      <c r="W358" s="123">
        <f t="shared" si="227"/>
        <v>16177</v>
      </c>
      <c r="X358" s="6"/>
      <c r="Y358" s="6"/>
      <c r="Z358" s="6"/>
      <c r="AA358" s="19">
        <f t="shared" si="228"/>
        <v>328060</v>
      </c>
      <c r="AB358" s="19">
        <f t="shared" si="229"/>
        <v>353524</v>
      </c>
      <c r="AC358" s="15">
        <f t="shared" si="230"/>
        <v>1683.45</v>
      </c>
      <c r="AD358" s="15">
        <f t="shared" si="231"/>
        <v>353524.5</v>
      </c>
      <c r="AE358" s="25"/>
      <c r="AF358" s="157">
        <f t="shared" si="217"/>
        <v>0.5</v>
      </c>
    </row>
    <row r="359" spans="1:32" s="4" customFormat="1" ht="25.5" x14ac:dyDescent="0.25">
      <c r="A359" s="64" t="s">
        <v>1133</v>
      </c>
      <c r="B359" s="69" t="s">
        <v>873</v>
      </c>
      <c r="C359" s="12" t="s">
        <v>72</v>
      </c>
      <c r="D359" s="13">
        <v>190</v>
      </c>
      <c r="E359" s="18"/>
      <c r="F359" s="215">
        <v>12384.86</v>
      </c>
      <c r="G359" s="215">
        <f t="shared" si="232"/>
        <v>344</v>
      </c>
      <c r="H359" s="19">
        <f t="shared" si="224"/>
        <v>12729</v>
      </c>
      <c r="I359" s="15"/>
      <c r="J359" s="22"/>
      <c r="K359" s="15"/>
      <c r="L359" s="15"/>
      <c r="M359" s="22"/>
      <c r="N359" s="22"/>
      <c r="O359" s="22">
        <f t="shared" si="234"/>
        <v>172478</v>
      </c>
      <c r="P359" s="19">
        <f t="shared" si="235"/>
        <v>17420</v>
      </c>
      <c r="Q359" s="19">
        <f t="shared" si="236"/>
        <v>189898</v>
      </c>
      <c r="R359" s="6">
        <f t="shared" si="233"/>
        <v>1994</v>
      </c>
      <c r="S359" s="6"/>
      <c r="T359" s="6"/>
      <c r="U359" s="123">
        <f t="shared" si="225"/>
        <v>17128</v>
      </c>
      <c r="V359" s="123">
        <f t="shared" si="226"/>
        <v>388</v>
      </c>
      <c r="W359" s="123">
        <f t="shared" si="227"/>
        <v>10861</v>
      </c>
      <c r="X359" s="6"/>
      <c r="Y359" s="6"/>
      <c r="Z359" s="6"/>
      <c r="AA359" s="19">
        <f t="shared" si="228"/>
        <v>220269</v>
      </c>
      <c r="AB359" s="19">
        <f t="shared" si="229"/>
        <v>237366</v>
      </c>
      <c r="AC359" s="15">
        <f t="shared" si="230"/>
        <v>1249.29</v>
      </c>
      <c r="AD359" s="15">
        <f t="shared" si="231"/>
        <v>237365.1</v>
      </c>
      <c r="AE359" s="25"/>
      <c r="AF359" s="157">
        <f t="shared" si="217"/>
        <v>-0.9</v>
      </c>
    </row>
    <row r="360" spans="1:32" s="4" customFormat="1" x14ac:dyDescent="0.25">
      <c r="A360" s="23" t="s">
        <v>1134</v>
      </c>
      <c r="B360" s="26" t="s">
        <v>874</v>
      </c>
      <c r="C360" s="21"/>
      <c r="D360" s="212"/>
      <c r="E360" s="213"/>
      <c r="F360" s="216"/>
      <c r="G360" s="215"/>
      <c r="H360" s="19"/>
      <c r="I360" s="32"/>
      <c r="J360" s="22"/>
      <c r="K360" s="15"/>
      <c r="L360" s="15"/>
      <c r="M360" s="31"/>
      <c r="N360" s="31"/>
      <c r="O360" s="22"/>
      <c r="P360" s="19"/>
      <c r="Q360" s="19"/>
      <c r="R360" s="6"/>
      <c r="S360" s="6"/>
      <c r="T360" s="6"/>
      <c r="U360" s="123"/>
      <c r="V360" s="123"/>
      <c r="W360" s="123"/>
      <c r="X360" s="6"/>
      <c r="Y360" s="6"/>
      <c r="Z360" s="6"/>
      <c r="AA360" s="19"/>
      <c r="AB360" s="19"/>
      <c r="AC360" s="15"/>
      <c r="AD360" s="15"/>
      <c r="AE360" s="25"/>
      <c r="AF360" s="157">
        <f t="shared" si="217"/>
        <v>0</v>
      </c>
    </row>
    <row r="361" spans="1:32" s="4" customFormat="1" x14ac:dyDescent="0.25">
      <c r="A361" s="64" t="s">
        <v>1135</v>
      </c>
      <c r="B361" s="162" t="s">
        <v>1296</v>
      </c>
      <c r="C361" s="12" t="s">
        <v>70</v>
      </c>
      <c r="D361" s="13">
        <v>475</v>
      </c>
      <c r="E361" s="18"/>
      <c r="F361" s="223">
        <v>10409074</v>
      </c>
      <c r="G361" s="215">
        <f t="shared" si="232"/>
        <v>289177</v>
      </c>
      <c r="H361" s="19">
        <f t="shared" si="224"/>
        <v>10698251</v>
      </c>
      <c r="I361" s="15"/>
      <c r="J361" s="22"/>
      <c r="K361" s="15"/>
      <c r="L361" s="15"/>
      <c r="M361" s="22"/>
      <c r="N361" s="22"/>
      <c r="O361" s="159">
        <f>(H361-9346316.01)*13.55+9346316.01*13.55*0.4</f>
        <v>68975752</v>
      </c>
      <c r="P361" s="19">
        <f t="shared" si="235"/>
        <v>6966551</v>
      </c>
      <c r="Q361" s="19">
        <f t="shared" ref="Q361:Q362" si="237">SUM(O361:P361)</f>
        <v>75942303</v>
      </c>
      <c r="R361" s="6">
        <f t="shared" si="233"/>
        <v>797394</v>
      </c>
      <c r="S361" s="161">
        <f>Q361*$S$6</f>
        <v>48003</v>
      </c>
      <c r="T361" s="121">
        <f>Q361*$T$7</f>
        <v>72525</v>
      </c>
      <c r="U361" s="123">
        <f t="shared" ref="U361:U362" si="238">Q361*$U$7</f>
        <v>6849501</v>
      </c>
      <c r="V361" s="123">
        <f t="shared" ref="V361:V362" si="239">Q361*$V$7</f>
        <v>155165</v>
      </c>
      <c r="W361" s="123">
        <f t="shared" ref="W361:W362" si="240">Q361*$W$7</f>
        <v>4343621</v>
      </c>
      <c r="X361" s="6"/>
      <c r="Y361" s="6"/>
      <c r="Z361" s="6"/>
      <c r="AA361" s="19">
        <f t="shared" ref="AA361:AA362" si="241">SUM(Q361:Z361)</f>
        <v>88208512</v>
      </c>
      <c r="AB361" s="19">
        <f t="shared" ref="AB361:AB367" si="242">$AA361*AB$7</f>
        <v>95055257</v>
      </c>
      <c r="AC361" s="15">
        <f t="shared" ref="AC361:AC367" si="243">AB361/D361</f>
        <v>200116.33</v>
      </c>
      <c r="AD361" s="15">
        <f t="shared" ref="AD361:AD367" si="244">AC361*D361</f>
        <v>95055256.75</v>
      </c>
      <c r="AE361" s="25"/>
      <c r="AF361" s="157">
        <f t="shared" si="217"/>
        <v>-0.25</v>
      </c>
    </row>
    <row r="362" spans="1:32" s="4" customFormat="1" x14ac:dyDescent="0.25">
      <c r="A362" s="64" t="s">
        <v>1136</v>
      </c>
      <c r="B362" s="69" t="s">
        <v>867</v>
      </c>
      <c r="C362" s="12" t="s">
        <v>70</v>
      </c>
      <c r="D362" s="13">
        <v>15.3</v>
      </c>
      <c r="E362" s="18"/>
      <c r="F362" s="215">
        <v>13479.65</v>
      </c>
      <c r="G362" s="215">
        <f t="shared" si="232"/>
        <v>374</v>
      </c>
      <c r="H362" s="19">
        <f t="shared" si="224"/>
        <v>13854</v>
      </c>
      <c r="I362" s="15"/>
      <c r="J362" s="22"/>
      <c r="K362" s="15"/>
      <c r="L362" s="15"/>
      <c r="M362" s="22"/>
      <c r="N362" s="22"/>
      <c r="O362" s="22">
        <f t="shared" si="234"/>
        <v>187722</v>
      </c>
      <c r="P362" s="19">
        <f t="shared" si="235"/>
        <v>18960</v>
      </c>
      <c r="Q362" s="19">
        <f t="shared" si="237"/>
        <v>206682</v>
      </c>
      <c r="R362" s="6">
        <f t="shared" si="233"/>
        <v>2170</v>
      </c>
      <c r="S362" s="6"/>
      <c r="T362" s="6"/>
      <c r="U362" s="123">
        <f t="shared" si="238"/>
        <v>18641</v>
      </c>
      <c r="V362" s="123">
        <f t="shared" si="239"/>
        <v>422</v>
      </c>
      <c r="W362" s="123">
        <f t="shared" si="240"/>
        <v>11821</v>
      </c>
      <c r="X362" s="6"/>
      <c r="Y362" s="6"/>
      <c r="Z362" s="6"/>
      <c r="AA362" s="19">
        <f t="shared" si="241"/>
        <v>239736</v>
      </c>
      <c r="AB362" s="19">
        <f t="shared" si="242"/>
        <v>258344</v>
      </c>
      <c r="AC362" s="15">
        <f t="shared" si="243"/>
        <v>16885.23</v>
      </c>
      <c r="AD362" s="15">
        <f t="shared" si="244"/>
        <v>258344.02</v>
      </c>
      <c r="AE362" s="25"/>
      <c r="AF362" s="157">
        <f t="shared" si="217"/>
        <v>0.02</v>
      </c>
    </row>
    <row r="363" spans="1:32" s="4" customFormat="1" x14ac:dyDescent="0.25">
      <c r="A363" s="64" t="s">
        <v>1137</v>
      </c>
      <c r="B363" s="69" t="s">
        <v>868</v>
      </c>
      <c r="C363" s="12" t="s">
        <v>70</v>
      </c>
      <c r="D363" s="13">
        <v>164.5</v>
      </c>
      <c r="E363" s="18"/>
      <c r="F363" s="223">
        <v>1244174</v>
      </c>
      <c r="G363" s="215">
        <f t="shared" si="232"/>
        <v>34565</v>
      </c>
      <c r="H363" s="19">
        <f t="shared" si="224"/>
        <v>1278739</v>
      </c>
      <c r="I363" s="15"/>
      <c r="J363" s="22"/>
      <c r="K363" s="15"/>
      <c r="L363" s="15"/>
      <c r="M363" s="22"/>
      <c r="N363" s="22"/>
      <c r="O363" s="22">
        <f t="shared" si="234"/>
        <v>17326913</v>
      </c>
      <c r="P363" s="19">
        <f t="shared" si="235"/>
        <v>1750018</v>
      </c>
      <c r="Q363" s="19">
        <f t="shared" ref="Q363:Q404" si="245">SUM(O363:P363)</f>
        <v>19076931</v>
      </c>
      <c r="R363" s="6">
        <f t="shared" si="233"/>
        <v>200308</v>
      </c>
      <c r="S363" s="6"/>
      <c r="T363" s="6"/>
      <c r="U363" s="123">
        <f>Q363*$U$7</f>
        <v>1720615</v>
      </c>
      <c r="V363" s="123">
        <f>Q363*$V$7</f>
        <v>38978</v>
      </c>
      <c r="W363" s="123">
        <f>Q363*$W$7</f>
        <v>1091130</v>
      </c>
      <c r="X363" s="6"/>
      <c r="Y363" s="6"/>
      <c r="Z363" s="6"/>
      <c r="AA363" s="19">
        <f>SUM(Q363:Z363)</f>
        <v>22127962</v>
      </c>
      <c r="AB363" s="19">
        <f t="shared" si="242"/>
        <v>23845534</v>
      </c>
      <c r="AC363" s="15">
        <f t="shared" si="243"/>
        <v>144957.65</v>
      </c>
      <c r="AD363" s="15">
        <f t="shared" si="244"/>
        <v>23845533.43</v>
      </c>
      <c r="AE363" s="25"/>
      <c r="AF363" s="157">
        <f t="shared" si="217"/>
        <v>-0.56999999999999995</v>
      </c>
    </row>
    <row r="364" spans="1:32" s="4" customFormat="1" x14ac:dyDescent="0.25">
      <c r="A364" s="64" t="s">
        <v>1138</v>
      </c>
      <c r="B364" s="69" t="s">
        <v>869</v>
      </c>
      <c r="C364" s="12" t="s">
        <v>70</v>
      </c>
      <c r="D364" s="13">
        <v>94.5</v>
      </c>
      <c r="E364" s="18"/>
      <c r="F364" s="215">
        <v>937205.65</v>
      </c>
      <c r="G364" s="215">
        <f t="shared" si="232"/>
        <v>26037</v>
      </c>
      <c r="H364" s="19">
        <f t="shared" si="224"/>
        <v>963243</v>
      </c>
      <c r="I364" s="15"/>
      <c r="J364" s="22"/>
      <c r="K364" s="15"/>
      <c r="L364" s="15"/>
      <c r="M364" s="22"/>
      <c r="N364" s="22"/>
      <c r="O364" s="22">
        <f t="shared" si="234"/>
        <v>13051943</v>
      </c>
      <c r="P364" s="19">
        <f t="shared" si="235"/>
        <v>1318246</v>
      </c>
      <c r="Q364" s="19">
        <f t="shared" si="245"/>
        <v>14370189</v>
      </c>
      <c r="R364" s="6">
        <f t="shared" si="233"/>
        <v>150887</v>
      </c>
      <c r="S364" s="6"/>
      <c r="T364" s="6"/>
      <c r="U364" s="123">
        <f>Q364*$U$7</f>
        <v>1296097</v>
      </c>
      <c r="V364" s="123">
        <f>Q364*$V$7</f>
        <v>29361</v>
      </c>
      <c r="W364" s="123">
        <f>Q364*$W$7</f>
        <v>821922</v>
      </c>
      <c r="X364" s="6"/>
      <c r="Y364" s="6"/>
      <c r="Z364" s="6"/>
      <c r="AA364" s="19">
        <f>SUM(Q364:Z364)</f>
        <v>16668456</v>
      </c>
      <c r="AB364" s="19">
        <f t="shared" si="242"/>
        <v>17962262</v>
      </c>
      <c r="AC364" s="15">
        <f t="shared" si="243"/>
        <v>190076.85</v>
      </c>
      <c r="AD364" s="15">
        <f t="shared" si="244"/>
        <v>17962262.329999998</v>
      </c>
      <c r="AE364" s="25"/>
      <c r="AF364" s="157">
        <f t="shared" si="217"/>
        <v>0.33</v>
      </c>
    </row>
    <row r="365" spans="1:32" s="4" customFormat="1" ht="25.5" x14ac:dyDescent="0.25">
      <c r="A365" s="64" t="s">
        <v>1139</v>
      </c>
      <c r="B365" s="69" t="s">
        <v>875</v>
      </c>
      <c r="C365" s="12" t="s">
        <v>70</v>
      </c>
      <c r="D365" s="13">
        <v>141.6</v>
      </c>
      <c r="E365" s="18"/>
      <c r="F365" s="215">
        <v>1637549.68</v>
      </c>
      <c r="G365" s="215">
        <f t="shared" si="232"/>
        <v>45493</v>
      </c>
      <c r="H365" s="19">
        <f t="shared" si="224"/>
        <v>1683043</v>
      </c>
      <c r="I365" s="15"/>
      <c r="J365" s="22"/>
      <c r="K365" s="15"/>
      <c r="L365" s="15"/>
      <c r="M365" s="22"/>
      <c r="N365" s="22"/>
      <c r="O365" s="22">
        <f t="shared" si="234"/>
        <v>22805233</v>
      </c>
      <c r="P365" s="19">
        <f t="shared" si="235"/>
        <v>2303329</v>
      </c>
      <c r="Q365" s="19">
        <f t="shared" si="245"/>
        <v>25108562</v>
      </c>
      <c r="R365" s="6">
        <f t="shared" si="233"/>
        <v>263640</v>
      </c>
      <c r="S365" s="6"/>
      <c r="T365" s="6"/>
      <c r="U365" s="123">
        <f>Q365*$U$7</f>
        <v>2264629</v>
      </c>
      <c r="V365" s="123">
        <f>Q365*$V$7</f>
        <v>51302</v>
      </c>
      <c r="W365" s="123">
        <f>Q365*$W$7</f>
        <v>1436117</v>
      </c>
      <c r="X365" s="6"/>
      <c r="Y365" s="6"/>
      <c r="Z365" s="6"/>
      <c r="AA365" s="19">
        <f>SUM(Q365:Z365)</f>
        <v>29124250</v>
      </c>
      <c r="AB365" s="19">
        <f t="shared" si="242"/>
        <v>31384874</v>
      </c>
      <c r="AC365" s="15">
        <f t="shared" si="243"/>
        <v>221644.59</v>
      </c>
      <c r="AD365" s="15">
        <f t="shared" si="244"/>
        <v>31384873.940000001</v>
      </c>
      <c r="AE365" s="25"/>
      <c r="AF365" s="157">
        <f t="shared" si="217"/>
        <v>-0.06</v>
      </c>
    </row>
    <row r="366" spans="1:32" s="4" customFormat="1" x14ac:dyDescent="0.25">
      <c r="A366" s="64" t="s">
        <v>1140</v>
      </c>
      <c r="B366" s="69" t="s">
        <v>872</v>
      </c>
      <c r="C366" s="12" t="s">
        <v>72</v>
      </c>
      <c r="D366" s="13">
        <v>339.6</v>
      </c>
      <c r="E366" s="18"/>
      <c r="F366" s="215">
        <v>29446.13</v>
      </c>
      <c r="G366" s="215">
        <f t="shared" si="232"/>
        <v>818</v>
      </c>
      <c r="H366" s="19">
        <f t="shared" si="224"/>
        <v>30264</v>
      </c>
      <c r="I366" s="15"/>
      <c r="J366" s="22"/>
      <c r="K366" s="15"/>
      <c r="L366" s="15"/>
      <c r="M366" s="22"/>
      <c r="N366" s="22"/>
      <c r="O366" s="22">
        <f t="shared" si="234"/>
        <v>410077</v>
      </c>
      <c r="P366" s="19">
        <f t="shared" si="235"/>
        <v>41418</v>
      </c>
      <c r="Q366" s="19">
        <f t="shared" si="245"/>
        <v>451495</v>
      </c>
      <c r="R366" s="6">
        <f t="shared" si="233"/>
        <v>4741</v>
      </c>
      <c r="S366" s="6"/>
      <c r="T366" s="6"/>
      <c r="U366" s="123">
        <f>Q366*$U$7</f>
        <v>40722</v>
      </c>
      <c r="V366" s="123">
        <f>Q366*$V$7</f>
        <v>922</v>
      </c>
      <c r="W366" s="123">
        <f>Q366*$W$7</f>
        <v>25824</v>
      </c>
      <c r="X366" s="6"/>
      <c r="Y366" s="6"/>
      <c r="Z366" s="6"/>
      <c r="AA366" s="19">
        <f>SUM(Q366:Z366)</f>
        <v>523704</v>
      </c>
      <c r="AB366" s="19">
        <f t="shared" si="242"/>
        <v>564354</v>
      </c>
      <c r="AC366" s="15">
        <f t="shared" si="243"/>
        <v>1661.82</v>
      </c>
      <c r="AD366" s="15">
        <f t="shared" si="244"/>
        <v>564354.06999999995</v>
      </c>
      <c r="AE366" s="25"/>
      <c r="AF366" s="157">
        <f t="shared" si="217"/>
        <v>7.0000000000000007E-2</v>
      </c>
    </row>
    <row r="367" spans="1:32" s="4" customFormat="1" ht="25.5" x14ac:dyDescent="0.25">
      <c r="A367" s="64" t="s">
        <v>1141</v>
      </c>
      <c r="B367" s="69" t="s">
        <v>873</v>
      </c>
      <c r="C367" s="12" t="s">
        <v>72</v>
      </c>
      <c r="D367" s="13">
        <v>835</v>
      </c>
      <c r="E367" s="18"/>
      <c r="F367" s="215">
        <v>150435</v>
      </c>
      <c r="G367" s="215">
        <f t="shared" si="232"/>
        <v>4179</v>
      </c>
      <c r="H367" s="19">
        <f t="shared" si="224"/>
        <v>154614</v>
      </c>
      <c r="I367" s="15"/>
      <c r="J367" s="22"/>
      <c r="K367" s="15"/>
      <c r="L367" s="15"/>
      <c r="M367" s="22"/>
      <c r="N367" s="22"/>
      <c r="O367" s="22">
        <f t="shared" si="234"/>
        <v>2095020</v>
      </c>
      <c r="P367" s="19">
        <f t="shared" si="235"/>
        <v>211597</v>
      </c>
      <c r="Q367" s="19">
        <f t="shared" si="245"/>
        <v>2306617</v>
      </c>
      <c r="R367" s="6">
        <f t="shared" si="233"/>
        <v>24219</v>
      </c>
      <c r="S367" s="6"/>
      <c r="T367" s="6"/>
      <c r="U367" s="123">
        <f>Q367*$U$7</f>
        <v>208042</v>
      </c>
      <c r="V367" s="123">
        <f>Q367*$V$7</f>
        <v>4713</v>
      </c>
      <c r="W367" s="123">
        <f>Q367*$W$7</f>
        <v>131930</v>
      </c>
      <c r="X367" s="6"/>
      <c r="Y367" s="6"/>
      <c r="Z367" s="6"/>
      <c r="AA367" s="19">
        <f>SUM(Q367:Z367)</f>
        <v>2675521</v>
      </c>
      <c r="AB367" s="19">
        <f t="shared" si="242"/>
        <v>2883195</v>
      </c>
      <c r="AC367" s="15">
        <f t="shared" si="243"/>
        <v>3452.93</v>
      </c>
      <c r="AD367" s="15">
        <f t="shared" si="244"/>
        <v>2883196.55</v>
      </c>
      <c r="AE367" s="25"/>
      <c r="AF367" s="157">
        <f t="shared" si="217"/>
        <v>1.55</v>
      </c>
    </row>
    <row r="368" spans="1:32" s="4" customFormat="1" ht="25.5" x14ac:dyDescent="0.25">
      <c r="A368" s="23" t="s">
        <v>1142</v>
      </c>
      <c r="B368" s="26" t="s">
        <v>877</v>
      </c>
      <c r="C368" s="21"/>
      <c r="D368" s="212"/>
      <c r="E368" s="213"/>
      <c r="F368" s="216"/>
      <c r="G368" s="215"/>
      <c r="H368" s="19"/>
      <c r="I368" s="32"/>
      <c r="J368" s="22"/>
      <c r="K368" s="15"/>
      <c r="L368" s="15"/>
      <c r="M368" s="31"/>
      <c r="N368" s="31"/>
      <c r="O368" s="22"/>
      <c r="P368" s="19"/>
      <c r="Q368" s="19"/>
      <c r="R368" s="6"/>
      <c r="S368" s="6"/>
      <c r="T368" s="6"/>
      <c r="U368" s="123"/>
      <c r="V368" s="123"/>
      <c r="W368" s="123"/>
      <c r="X368" s="6"/>
      <c r="Y368" s="6"/>
      <c r="Z368" s="6"/>
      <c r="AA368" s="19"/>
      <c r="AB368" s="19"/>
      <c r="AC368" s="15"/>
      <c r="AD368" s="15"/>
      <c r="AE368" s="25"/>
      <c r="AF368" s="157">
        <f t="shared" si="217"/>
        <v>0</v>
      </c>
    </row>
    <row r="369" spans="1:32" s="4" customFormat="1" x14ac:dyDescent="0.25">
      <c r="A369" s="64" t="s">
        <v>1143</v>
      </c>
      <c r="B369" s="69" t="s">
        <v>878</v>
      </c>
      <c r="C369" s="12" t="s">
        <v>311</v>
      </c>
      <c r="D369" s="13">
        <v>3.6</v>
      </c>
      <c r="E369" s="18"/>
      <c r="F369" s="215">
        <v>54742.75</v>
      </c>
      <c r="G369" s="215">
        <f t="shared" si="232"/>
        <v>1521</v>
      </c>
      <c r="H369" s="19">
        <f t="shared" si="224"/>
        <v>56264</v>
      </c>
      <c r="I369" s="15"/>
      <c r="J369" s="22"/>
      <c r="K369" s="15"/>
      <c r="L369" s="15"/>
      <c r="M369" s="22"/>
      <c r="N369" s="22"/>
      <c r="O369" s="22">
        <f t="shared" si="234"/>
        <v>762377</v>
      </c>
      <c r="P369" s="19">
        <f t="shared" si="235"/>
        <v>77000</v>
      </c>
      <c r="Q369" s="19">
        <f t="shared" si="245"/>
        <v>839377</v>
      </c>
      <c r="R369" s="6">
        <f t="shared" si="233"/>
        <v>8813</v>
      </c>
      <c r="S369" s="6"/>
      <c r="T369" s="6"/>
      <c r="U369" s="123">
        <f t="shared" ref="U369:U375" si="246">Q369*$U$7</f>
        <v>75706</v>
      </c>
      <c r="V369" s="123">
        <f t="shared" ref="V369:V375" si="247">Q369*$V$7</f>
        <v>1715</v>
      </c>
      <c r="W369" s="123">
        <f t="shared" ref="W369:W375" si="248">Q369*$W$7</f>
        <v>48009</v>
      </c>
      <c r="X369" s="6"/>
      <c r="Y369" s="6"/>
      <c r="Z369" s="6"/>
      <c r="AA369" s="19">
        <f t="shared" ref="AA369:AA375" si="249">SUM(Q369:Z369)</f>
        <v>973620</v>
      </c>
      <c r="AB369" s="19">
        <f t="shared" ref="AB369:AB375" si="250">$AA369*AB$7</f>
        <v>1049192</v>
      </c>
      <c r="AC369" s="15">
        <f t="shared" ref="AC369:AC375" si="251">AB369/D369</f>
        <v>291442.21999999997</v>
      </c>
      <c r="AD369" s="15">
        <f t="shared" ref="AD369:AD375" si="252">AC369*D369</f>
        <v>1049191.99</v>
      </c>
      <c r="AE369" s="25"/>
      <c r="AF369" s="157">
        <f t="shared" si="217"/>
        <v>-0.01</v>
      </c>
    </row>
    <row r="370" spans="1:32" s="4" customFormat="1" x14ac:dyDescent="0.25">
      <c r="A370" s="64" t="s">
        <v>1144</v>
      </c>
      <c r="B370" s="172" t="s">
        <v>879</v>
      </c>
      <c r="C370" s="12" t="s">
        <v>67</v>
      </c>
      <c r="D370" s="89">
        <v>72</v>
      </c>
      <c r="E370" s="18"/>
      <c r="F370" s="215">
        <v>377135.5</v>
      </c>
      <c r="G370" s="215">
        <f t="shared" si="232"/>
        <v>10477</v>
      </c>
      <c r="H370" s="19">
        <f t="shared" si="224"/>
        <v>387613</v>
      </c>
      <c r="I370" s="15"/>
      <c r="J370" s="22"/>
      <c r="K370" s="15"/>
      <c r="L370" s="15"/>
      <c r="M370" s="22"/>
      <c r="N370" s="22"/>
      <c r="O370" s="22">
        <f t="shared" si="234"/>
        <v>5252156</v>
      </c>
      <c r="P370" s="19">
        <f t="shared" si="235"/>
        <v>530468</v>
      </c>
      <c r="Q370" s="19">
        <f t="shared" si="245"/>
        <v>5782624</v>
      </c>
      <c r="R370" s="6">
        <f t="shared" si="233"/>
        <v>60718</v>
      </c>
      <c r="S370" s="6"/>
      <c r="T370" s="6"/>
      <c r="U370" s="123">
        <f t="shared" si="246"/>
        <v>521555</v>
      </c>
      <c r="V370" s="123">
        <f t="shared" si="247"/>
        <v>11815</v>
      </c>
      <c r="W370" s="123">
        <f t="shared" si="248"/>
        <v>330745</v>
      </c>
      <c r="X370" s="6"/>
      <c r="Y370" s="6"/>
      <c r="Z370" s="6"/>
      <c r="AA370" s="19">
        <f t="shared" si="249"/>
        <v>6707457</v>
      </c>
      <c r="AB370" s="19">
        <f t="shared" si="250"/>
        <v>7228090</v>
      </c>
      <c r="AC370" s="15">
        <f t="shared" si="251"/>
        <v>100390.14</v>
      </c>
      <c r="AD370" s="15">
        <f t="shared" si="252"/>
        <v>7228090.0800000001</v>
      </c>
      <c r="AE370" s="25"/>
      <c r="AF370" s="157">
        <f t="shared" si="217"/>
        <v>0.08</v>
      </c>
    </row>
    <row r="371" spans="1:32" s="4" customFormat="1" x14ac:dyDescent="0.25">
      <c r="A371" s="64" t="s">
        <v>1145</v>
      </c>
      <c r="B371" s="69" t="s">
        <v>880</v>
      </c>
      <c r="C371" s="12" t="s">
        <v>67</v>
      </c>
      <c r="D371" s="13">
        <v>36</v>
      </c>
      <c r="E371" s="18"/>
      <c r="F371" s="215">
        <v>3586773.02</v>
      </c>
      <c r="G371" s="215">
        <f t="shared" si="232"/>
        <v>99645</v>
      </c>
      <c r="H371" s="19">
        <f t="shared" si="224"/>
        <v>3686418</v>
      </c>
      <c r="I371" s="15"/>
      <c r="J371" s="22"/>
      <c r="K371" s="15"/>
      <c r="L371" s="15"/>
      <c r="M371" s="22"/>
      <c r="N371" s="22"/>
      <c r="O371" s="22">
        <f t="shared" si="234"/>
        <v>49950964</v>
      </c>
      <c r="P371" s="19">
        <f t="shared" si="235"/>
        <v>5045047</v>
      </c>
      <c r="Q371" s="19">
        <f t="shared" si="245"/>
        <v>54996011</v>
      </c>
      <c r="R371" s="6">
        <f t="shared" si="233"/>
        <v>577458</v>
      </c>
      <c r="S371" s="6"/>
      <c r="T371" s="6"/>
      <c r="U371" s="123">
        <f t="shared" si="246"/>
        <v>4960282</v>
      </c>
      <c r="V371" s="123">
        <f t="shared" si="247"/>
        <v>112368</v>
      </c>
      <c r="W371" s="123">
        <f t="shared" si="248"/>
        <v>3145570</v>
      </c>
      <c r="X371" s="6">
        <f>0.46*1000*9.12</f>
        <v>4195</v>
      </c>
      <c r="Y371" s="6"/>
      <c r="Z371" s="6"/>
      <c r="AA371" s="19">
        <f t="shared" si="249"/>
        <v>63795884</v>
      </c>
      <c r="AB371" s="19">
        <f t="shared" si="250"/>
        <v>68747721</v>
      </c>
      <c r="AC371" s="15">
        <f t="shared" si="251"/>
        <v>1909658.92</v>
      </c>
      <c r="AD371" s="15">
        <f t="shared" si="252"/>
        <v>68747721.120000005</v>
      </c>
      <c r="AE371" s="25"/>
      <c r="AF371" s="157">
        <f t="shared" si="217"/>
        <v>0.12</v>
      </c>
    </row>
    <row r="372" spans="1:32" s="4" customFormat="1" x14ac:dyDescent="0.25">
      <c r="A372" s="64" t="s">
        <v>1146</v>
      </c>
      <c r="B372" s="69" t="s">
        <v>881</v>
      </c>
      <c r="C372" s="12" t="s">
        <v>70</v>
      </c>
      <c r="D372" s="13">
        <v>384.9</v>
      </c>
      <c r="E372" s="18"/>
      <c r="F372" s="215">
        <v>2511501.41</v>
      </c>
      <c r="G372" s="215">
        <f t="shared" si="232"/>
        <v>69773</v>
      </c>
      <c r="H372" s="19">
        <f t="shared" si="224"/>
        <v>2581274</v>
      </c>
      <c r="I372" s="15"/>
      <c r="J372" s="22"/>
      <c r="K372" s="15"/>
      <c r="L372" s="15"/>
      <c r="M372" s="22"/>
      <c r="N372" s="22"/>
      <c r="O372" s="22">
        <f t="shared" si="234"/>
        <v>34976263</v>
      </c>
      <c r="P372" s="19">
        <f t="shared" si="235"/>
        <v>3532603</v>
      </c>
      <c r="Q372" s="19">
        <f t="shared" si="245"/>
        <v>38508866</v>
      </c>
      <c r="R372" s="6">
        <f t="shared" si="233"/>
        <v>404343</v>
      </c>
      <c r="S372" s="6"/>
      <c r="T372" s="6"/>
      <c r="U372" s="123">
        <f t="shared" si="246"/>
        <v>3473249</v>
      </c>
      <c r="V372" s="123">
        <f t="shared" si="247"/>
        <v>78681</v>
      </c>
      <c r="W372" s="123">
        <f t="shared" si="248"/>
        <v>2202566</v>
      </c>
      <c r="X372" s="6"/>
      <c r="Y372" s="6"/>
      <c r="Z372" s="6"/>
      <c r="AA372" s="19">
        <f t="shared" si="249"/>
        <v>44667705</v>
      </c>
      <c r="AB372" s="19">
        <f t="shared" si="250"/>
        <v>48134812</v>
      </c>
      <c r="AC372" s="15">
        <f t="shared" si="251"/>
        <v>125057.97</v>
      </c>
      <c r="AD372" s="15">
        <f t="shared" si="252"/>
        <v>48134812.649999999</v>
      </c>
      <c r="AE372" s="25"/>
      <c r="AF372" s="157">
        <f t="shared" si="217"/>
        <v>0.65</v>
      </c>
    </row>
    <row r="373" spans="1:32" s="4" customFormat="1" x14ac:dyDescent="0.25">
      <c r="A373" s="64" t="s">
        <v>1147</v>
      </c>
      <c r="B373" s="69" t="s">
        <v>882</v>
      </c>
      <c r="C373" s="12" t="s">
        <v>70</v>
      </c>
      <c r="D373" s="13">
        <v>7.4</v>
      </c>
      <c r="E373" s="18"/>
      <c r="F373" s="215">
        <v>43761.38</v>
      </c>
      <c r="G373" s="215">
        <f t="shared" si="232"/>
        <v>1216</v>
      </c>
      <c r="H373" s="19">
        <f t="shared" si="224"/>
        <v>44977</v>
      </c>
      <c r="I373" s="15"/>
      <c r="J373" s="22"/>
      <c r="K373" s="15"/>
      <c r="L373" s="15"/>
      <c r="M373" s="22"/>
      <c r="N373" s="22"/>
      <c r="O373" s="22">
        <f t="shared" si="234"/>
        <v>609438</v>
      </c>
      <c r="P373" s="19">
        <f t="shared" si="235"/>
        <v>61553</v>
      </c>
      <c r="Q373" s="19">
        <f t="shared" si="245"/>
        <v>670991</v>
      </c>
      <c r="R373" s="6">
        <f t="shared" si="233"/>
        <v>7045</v>
      </c>
      <c r="S373" s="6"/>
      <c r="T373" s="6"/>
      <c r="U373" s="123">
        <f t="shared" si="246"/>
        <v>60519</v>
      </c>
      <c r="V373" s="123">
        <f t="shared" si="247"/>
        <v>1371</v>
      </c>
      <c r="W373" s="123">
        <f t="shared" si="248"/>
        <v>38378</v>
      </c>
      <c r="X373" s="6"/>
      <c r="Y373" s="6"/>
      <c r="Z373" s="6"/>
      <c r="AA373" s="19">
        <f t="shared" si="249"/>
        <v>778304</v>
      </c>
      <c r="AB373" s="19">
        <f t="shared" si="250"/>
        <v>838716</v>
      </c>
      <c r="AC373" s="15">
        <f t="shared" si="251"/>
        <v>113340</v>
      </c>
      <c r="AD373" s="15">
        <f t="shared" si="252"/>
        <v>838716</v>
      </c>
      <c r="AE373" s="25"/>
      <c r="AF373" s="157">
        <f t="shared" si="217"/>
        <v>0</v>
      </c>
    </row>
    <row r="374" spans="1:32" s="4" customFormat="1" x14ac:dyDescent="0.25">
      <c r="A374" s="64" t="s">
        <v>1148</v>
      </c>
      <c r="B374" s="69" t="s">
        <v>883</v>
      </c>
      <c r="C374" s="12" t="s">
        <v>72</v>
      </c>
      <c r="D374" s="13">
        <v>160</v>
      </c>
      <c r="E374" s="18"/>
      <c r="F374" s="215">
        <v>4533.26</v>
      </c>
      <c r="G374" s="215">
        <f t="shared" si="232"/>
        <v>126</v>
      </c>
      <c r="H374" s="19">
        <f t="shared" si="224"/>
        <v>4659</v>
      </c>
      <c r="I374" s="15"/>
      <c r="J374" s="22"/>
      <c r="K374" s="15"/>
      <c r="L374" s="15"/>
      <c r="M374" s="22"/>
      <c r="N374" s="22"/>
      <c r="O374" s="22">
        <f t="shared" si="234"/>
        <v>63129</v>
      </c>
      <c r="P374" s="19">
        <f t="shared" si="235"/>
        <v>6376</v>
      </c>
      <c r="Q374" s="19">
        <f t="shared" si="245"/>
        <v>69505</v>
      </c>
      <c r="R374" s="6">
        <f t="shared" si="233"/>
        <v>730</v>
      </c>
      <c r="S374" s="6"/>
      <c r="T374" s="6"/>
      <c r="U374" s="123">
        <f t="shared" si="246"/>
        <v>6269</v>
      </c>
      <c r="V374" s="123">
        <f t="shared" si="247"/>
        <v>142</v>
      </c>
      <c r="W374" s="123">
        <f t="shared" si="248"/>
        <v>3975</v>
      </c>
      <c r="X374" s="6"/>
      <c r="Y374" s="6"/>
      <c r="Z374" s="6"/>
      <c r="AA374" s="19">
        <f t="shared" si="249"/>
        <v>80621</v>
      </c>
      <c r="AB374" s="19">
        <f t="shared" si="250"/>
        <v>86879</v>
      </c>
      <c r="AC374" s="15">
        <f t="shared" si="251"/>
        <v>542.99</v>
      </c>
      <c r="AD374" s="15">
        <f t="shared" si="252"/>
        <v>86878.399999999994</v>
      </c>
      <c r="AE374" s="25"/>
      <c r="AF374" s="157">
        <f t="shared" si="217"/>
        <v>-0.6</v>
      </c>
    </row>
    <row r="375" spans="1:32" s="4" customFormat="1" ht="25.5" x14ac:dyDescent="0.25">
      <c r="A375" s="64" t="s">
        <v>1149</v>
      </c>
      <c r="B375" s="69" t="s">
        <v>884</v>
      </c>
      <c r="C375" s="12" t="s">
        <v>72</v>
      </c>
      <c r="D375" s="13">
        <v>4580</v>
      </c>
      <c r="E375" s="18"/>
      <c r="F375" s="215">
        <v>335401.69</v>
      </c>
      <c r="G375" s="215">
        <f t="shared" si="232"/>
        <v>9318</v>
      </c>
      <c r="H375" s="19">
        <f t="shared" si="224"/>
        <v>344720</v>
      </c>
      <c r="I375" s="15"/>
      <c r="J375" s="22"/>
      <c r="K375" s="15"/>
      <c r="L375" s="15"/>
      <c r="M375" s="22"/>
      <c r="N375" s="22"/>
      <c r="O375" s="22">
        <f t="shared" si="234"/>
        <v>4670956</v>
      </c>
      <c r="P375" s="19">
        <f t="shared" si="235"/>
        <v>471767</v>
      </c>
      <c r="Q375" s="19">
        <f t="shared" si="245"/>
        <v>5142723</v>
      </c>
      <c r="R375" s="6">
        <f t="shared" si="233"/>
        <v>53999</v>
      </c>
      <c r="S375" s="6"/>
      <c r="T375" s="6"/>
      <c r="U375" s="123">
        <f t="shared" si="246"/>
        <v>463840</v>
      </c>
      <c r="V375" s="123">
        <f t="shared" si="247"/>
        <v>10508</v>
      </c>
      <c r="W375" s="123">
        <f t="shared" si="248"/>
        <v>294145</v>
      </c>
      <c r="X375" s="6"/>
      <c r="Y375" s="6"/>
      <c r="Z375" s="6"/>
      <c r="AA375" s="19">
        <f t="shared" si="249"/>
        <v>5965215</v>
      </c>
      <c r="AB375" s="19">
        <f t="shared" si="250"/>
        <v>6428235</v>
      </c>
      <c r="AC375" s="15">
        <f t="shared" si="251"/>
        <v>1403.54</v>
      </c>
      <c r="AD375" s="15">
        <f t="shared" si="252"/>
        <v>6428213.2000000002</v>
      </c>
      <c r="AE375" s="25"/>
      <c r="AF375" s="157">
        <f t="shared" si="217"/>
        <v>-21.8</v>
      </c>
    </row>
    <row r="376" spans="1:32" s="4" customFormat="1" x14ac:dyDescent="0.25">
      <c r="A376" s="23" t="s">
        <v>1150</v>
      </c>
      <c r="B376" s="26" t="s">
        <v>885</v>
      </c>
      <c r="C376" s="21"/>
      <c r="D376" s="212"/>
      <c r="E376" s="213"/>
      <c r="F376" s="216"/>
      <c r="G376" s="215"/>
      <c r="H376" s="19"/>
      <c r="I376" s="32"/>
      <c r="J376" s="22"/>
      <c r="K376" s="15"/>
      <c r="L376" s="15"/>
      <c r="M376" s="31"/>
      <c r="N376" s="31"/>
      <c r="O376" s="22"/>
      <c r="P376" s="19"/>
      <c r="Q376" s="19"/>
      <c r="R376" s="6"/>
      <c r="S376" s="6"/>
      <c r="T376" s="6"/>
      <c r="U376" s="123"/>
      <c r="V376" s="123"/>
      <c r="W376" s="123"/>
      <c r="X376" s="6"/>
      <c r="Y376" s="6"/>
      <c r="Z376" s="6"/>
      <c r="AA376" s="19"/>
      <c r="AB376" s="19"/>
      <c r="AC376" s="15"/>
      <c r="AD376" s="15"/>
      <c r="AE376" s="25"/>
      <c r="AF376" s="157">
        <f t="shared" si="217"/>
        <v>0</v>
      </c>
    </row>
    <row r="377" spans="1:32" s="4" customFormat="1" x14ac:dyDescent="0.25">
      <c r="A377" s="64" t="s">
        <v>1151</v>
      </c>
      <c r="B377" s="69" t="s">
        <v>886</v>
      </c>
      <c r="C377" s="12" t="s">
        <v>72</v>
      </c>
      <c r="D377" s="13">
        <v>1676.3</v>
      </c>
      <c r="E377" s="18"/>
      <c r="F377" s="215">
        <v>246088.65</v>
      </c>
      <c r="G377" s="215">
        <f t="shared" si="232"/>
        <v>6837</v>
      </c>
      <c r="H377" s="19">
        <f t="shared" si="224"/>
        <v>252926</v>
      </c>
      <c r="I377" s="15"/>
      <c r="J377" s="22"/>
      <c r="K377" s="15"/>
      <c r="L377" s="15"/>
      <c r="M377" s="22"/>
      <c r="N377" s="22"/>
      <c r="O377" s="22">
        <f t="shared" si="234"/>
        <v>3427147</v>
      </c>
      <c r="P377" s="19">
        <f t="shared" si="235"/>
        <v>346142</v>
      </c>
      <c r="Q377" s="19">
        <f t="shared" si="245"/>
        <v>3773289</v>
      </c>
      <c r="R377" s="6">
        <f t="shared" si="233"/>
        <v>39620</v>
      </c>
      <c r="S377" s="6"/>
      <c r="T377" s="6"/>
      <c r="U377" s="123">
        <f t="shared" ref="U377:U389" si="253">Q377*$U$7</f>
        <v>340326</v>
      </c>
      <c r="V377" s="123">
        <f t="shared" ref="V377:V389" si="254">Q377*$V$7</f>
        <v>7710</v>
      </c>
      <c r="W377" s="123">
        <f t="shared" ref="W377:W389" si="255">Q377*$W$7</f>
        <v>215818</v>
      </c>
      <c r="X377" s="6"/>
      <c r="Y377" s="6"/>
      <c r="Z377" s="6"/>
      <c r="AA377" s="19">
        <f t="shared" ref="AA377:AA389" si="256">SUM(Q377:Z377)</f>
        <v>4376763</v>
      </c>
      <c r="AB377" s="19">
        <f t="shared" ref="AB377:AB389" si="257">$AA377*AB$7</f>
        <v>4716487</v>
      </c>
      <c r="AC377" s="15">
        <f t="shared" ref="AC377:AC389" si="258">AB377/D377</f>
        <v>2813.63</v>
      </c>
      <c r="AD377" s="15">
        <f t="shared" ref="AD377:AD389" si="259">AC377*D377</f>
        <v>4716487.97</v>
      </c>
      <c r="AE377" s="25"/>
      <c r="AF377" s="157">
        <f t="shared" si="217"/>
        <v>0.97</v>
      </c>
    </row>
    <row r="378" spans="1:32" s="4" customFormat="1" x14ac:dyDescent="0.25">
      <c r="A378" s="64" t="s">
        <v>1152</v>
      </c>
      <c r="B378" s="69" t="s">
        <v>887</v>
      </c>
      <c r="C378" s="12" t="s">
        <v>888</v>
      </c>
      <c r="D378" s="13">
        <v>186.4</v>
      </c>
      <c r="E378" s="18"/>
      <c r="F378" s="215">
        <v>17875.53</v>
      </c>
      <c r="G378" s="215">
        <f t="shared" si="232"/>
        <v>497</v>
      </c>
      <c r="H378" s="19">
        <f t="shared" si="224"/>
        <v>18373</v>
      </c>
      <c r="I378" s="15"/>
      <c r="J378" s="22"/>
      <c r="K378" s="15"/>
      <c r="L378" s="15"/>
      <c r="M378" s="22"/>
      <c r="N378" s="22"/>
      <c r="O378" s="22">
        <f t="shared" si="234"/>
        <v>248954</v>
      </c>
      <c r="P378" s="19">
        <f t="shared" si="235"/>
        <v>25144</v>
      </c>
      <c r="Q378" s="19">
        <f t="shared" si="245"/>
        <v>274098</v>
      </c>
      <c r="R378" s="6">
        <f t="shared" si="233"/>
        <v>2878</v>
      </c>
      <c r="S378" s="6"/>
      <c r="T378" s="6"/>
      <c r="U378" s="123">
        <f t="shared" si="253"/>
        <v>24722</v>
      </c>
      <c r="V378" s="123">
        <f t="shared" si="254"/>
        <v>560</v>
      </c>
      <c r="W378" s="123">
        <f t="shared" si="255"/>
        <v>15677</v>
      </c>
      <c r="X378" s="6"/>
      <c r="Y378" s="6"/>
      <c r="Z378" s="6"/>
      <c r="AA378" s="19">
        <f t="shared" si="256"/>
        <v>317935</v>
      </c>
      <c r="AB378" s="19">
        <f t="shared" si="257"/>
        <v>342613</v>
      </c>
      <c r="AC378" s="15">
        <f t="shared" si="258"/>
        <v>1838.05</v>
      </c>
      <c r="AD378" s="15">
        <f t="shared" si="259"/>
        <v>342612.52</v>
      </c>
      <c r="AE378" s="25"/>
      <c r="AF378" s="157">
        <f t="shared" si="217"/>
        <v>-0.48</v>
      </c>
    </row>
    <row r="379" spans="1:32" s="4" customFormat="1" x14ac:dyDescent="0.25">
      <c r="A379" s="64" t="s">
        <v>1153</v>
      </c>
      <c r="B379" s="69" t="s">
        <v>889</v>
      </c>
      <c r="C379" s="12" t="s">
        <v>890</v>
      </c>
      <c r="D379" s="13">
        <f>92.1*3</f>
        <v>276.3</v>
      </c>
      <c r="E379" s="18"/>
      <c r="F379" s="215">
        <v>635382</v>
      </c>
      <c r="G379" s="215">
        <f t="shared" si="232"/>
        <v>17652</v>
      </c>
      <c r="H379" s="19">
        <f t="shared" si="224"/>
        <v>653034</v>
      </c>
      <c r="I379" s="15"/>
      <c r="J379" s="22"/>
      <c r="K379" s="15"/>
      <c r="L379" s="15"/>
      <c r="M379" s="22"/>
      <c r="N379" s="22"/>
      <c r="O379" s="22">
        <f t="shared" si="234"/>
        <v>8848611</v>
      </c>
      <c r="P379" s="19">
        <f t="shared" si="235"/>
        <v>893710</v>
      </c>
      <c r="Q379" s="19">
        <f t="shared" si="245"/>
        <v>9742321</v>
      </c>
      <c r="R379" s="6">
        <f t="shared" si="233"/>
        <v>102294</v>
      </c>
      <c r="S379" s="6"/>
      <c r="T379" s="6"/>
      <c r="U379" s="123">
        <f t="shared" si="253"/>
        <v>878694</v>
      </c>
      <c r="V379" s="123">
        <f t="shared" si="254"/>
        <v>19905</v>
      </c>
      <c r="W379" s="123">
        <f t="shared" si="255"/>
        <v>557225</v>
      </c>
      <c r="X379" s="6"/>
      <c r="Y379" s="6"/>
      <c r="Z379" s="6"/>
      <c r="AA379" s="19">
        <f t="shared" si="256"/>
        <v>11300439</v>
      </c>
      <c r="AB379" s="19">
        <f t="shared" si="257"/>
        <v>12177579</v>
      </c>
      <c r="AC379" s="15">
        <f t="shared" si="258"/>
        <v>44073.760000000002</v>
      </c>
      <c r="AD379" s="15">
        <f t="shared" si="259"/>
        <v>12177579.890000001</v>
      </c>
      <c r="AE379" s="25"/>
      <c r="AF379" s="157">
        <f t="shared" si="217"/>
        <v>0.89</v>
      </c>
    </row>
    <row r="380" spans="1:32" s="4" customFormat="1" x14ac:dyDescent="0.25">
      <c r="A380" s="64" t="s">
        <v>1154</v>
      </c>
      <c r="B380" s="69" t="s">
        <v>891</v>
      </c>
      <c r="C380" s="12" t="s">
        <v>311</v>
      </c>
      <c r="D380" s="13">
        <v>3.48</v>
      </c>
      <c r="E380" s="18"/>
      <c r="F380" s="215">
        <v>86687.679999999993</v>
      </c>
      <c r="G380" s="215">
        <f t="shared" si="232"/>
        <v>2408</v>
      </c>
      <c r="H380" s="19">
        <f t="shared" si="224"/>
        <v>89096</v>
      </c>
      <c r="I380" s="15"/>
      <c r="J380" s="22"/>
      <c r="K380" s="15"/>
      <c r="L380" s="15"/>
      <c r="M380" s="22"/>
      <c r="N380" s="22"/>
      <c r="O380" s="22">
        <f t="shared" si="234"/>
        <v>1207251</v>
      </c>
      <c r="P380" s="19">
        <f t="shared" si="235"/>
        <v>121932</v>
      </c>
      <c r="Q380" s="19">
        <f t="shared" si="245"/>
        <v>1329183</v>
      </c>
      <c r="R380" s="6">
        <f t="shared" si="233"/>
        <v>13956</v>
      </c>
      <c r="S380" s="6"/>
      <c r="T380" s="6"/>
      <c r="U380" s="123">
        <f t="shared" si="253"/>
        <v>119884</v>
      </c>
      <c r="V380" s="123">
        <f t="shared" si="254"/>
        <v>2716</v>
      </c>
      <c r="W380" s="123">
        <f t="shared" si="255"/>
        <v>76024</v>
      </c>
      <c r="X380" s="6"/>
      <c r="Y380" s="6"/>
      <c r="Z380" s="6"/>
      <c r="AA380" s="19">
        <f t="shared" si="256"/>
        <v>1541763</v>
      </c>
      <c r="AB380" s="19">
        <f t="shared" si="257"/>
        <v>1661435</v>
      </c>
      <c r="AC380" s="15">
        <f t="shared" si="258"/>
        <v>477423.85</v>
      </c>
      <c r="AD380" s="15">
        <f t="shared" si="259"/>
        <v>1661435</v>
      </c>
      <c r="AE380" s="25"/>
      <c r="AF380" s="157">
        <f t="shared" si="217"/>
        <v>0</v>
      </c>
    </row>
    <row r="381" spans="1:32" s="4" customFormat="1" x14ac:dyDescent="0.25">
      <c r="A381" s="64" t="s">
        <v>1155</v>
      </c>
      <c r="B381" s="69" t="s">
        <v>892</v>
      </c>
      <c r="C381" s="12" t="s">
        <v>890</v>
      </c>
      <c r="D381" s="13">
        <v>41.1</v>
      </c>
      <c r="E381" s="18"/>
      <c r="F381" s="215">
        <v>222062.92</v>
      </c>
      <c r="G381" s="215">
        <f t="shared" si="232"/>
        <v>6169</v>
      </c>
      <c r="H381" s="19">
        <f t="shared" si="224"/>
        <v>228232</v>
      </c>
      <c r="I381" s="15"/>
      <c r="J381" s="22"/>
      <c r="K381" s="15"/>
      <c r="L381" s="15"/>
      <c r="M381" s="22"/>
      <c r="N381" s="22"/>
      <c r="O381" s="22">
        <f t="shared" si="234"/>
        <v>3092544</v>
      </c>
      <c r="P381" s="19">
        <f t="shared" si="235"/>
        <v>312347</v>
      </c>
      <c r="Q381" s="19">
        <f t="shared" si="245"/>
        <v>3404891</v>
      </c>
      <c r="R381" s="6">
        <f t="shared" si="233"/>
        <v>35751</v>
      </c>
      <c r="S381" s="6"/>
      <c r="T381" s="6"/>
      <c r="U381" s="123">
        <f t="shared" si="253"/>
        <v>307099</v>
      </c>
      <c r="V381" s="123">
        <f t="shared" si="254"/>
        <v>6957</v>
      </c>
      <c r="W381" s="123">
        <f t="shared" si="255"/>
        <v>194747</v>
      </c>
      <c r="X381" s="6"/>
      <c r="Y381" s="6"/>
      <c r="Z381" s="6"/>
      <c r="AA381" s="19">
        <f t="shared" si="256"/>
        <v>3949445</v>
      </c>
      <c r="AB381" s="19">
        <f t="shared" si="257"/>
        <v>4256001</v>
      </c>
      <c r="AC381" s="15">
        <f t="shared" si="258"/>
        <v>103552.34</v>
      </c>
      <c r="AD381" s="15">
        <f t="shared" si="259"/>
        <v>4256001.17</v>
      </c>
      <c r="AE381" s="25"/>
      <c r="AF381" s="157">
        <f t="shared" si="217"/>
        <v>0.17</v>
      </c>
    </row>
    <row r="382" spans="1:32" s="4" customFormat="1" x14ac:dyDescent="0.25">
      <c r="A382" s="64" t="s">
        <v>1156</v>
      </c>
      <c r="B382" s="69" t="s">
        <v>893</v>
      </c>
      <c r="C382" s="12" t="s">
        <v>72</v>
      </c>
      <c r="D382" s="13">
        <v>1331.9</v>
      </c>
      <c r="E382" s="18"/>
      <c r="F382" s="215">
        <v>126941.17</v>
      </c>
      <c r="G382" s="215">
        <f t="shared" si="232"/>
        <v>3527</v>
      </c>
      <c r="H382" s="19">
        <f t="shared" si="224"/>
        <v>130468</v>
      </c>
      <c r="I382" s="15"/>
      <c r="J382" s="22"/>
      <c r="K382" s="15"/>
      <c r="L382" s="15"/>
      <c r="M382" s="22"/>
      <c r="N382" s="22"/>
      <c r="O382" s="22">
        <f t="shared" si="234"/>
        <v>1767841</v>
      </c>
      <c r="P382" s="19">
        <f t="shared" si="235"/>
        <v>178552</v>
      </c>
      <c r="Q382" s="19">
        <f t="shared" si="245"/>
        <v>1946393</v>
      </c>
      <c r="R382" s="6">
        <f t="shared" si="233"/>
        <v>20437</v>
      </c>
      <c r="S382" s="6"/>
      <c r="T382" s="6"/>
      <c r="U382" s="123">
        <f t="shared" si="253"/>
        <v>175552</v>
      </c>
      <c r="V382" s="123">
        <f t="shared" si="254"/>
        <v>3977</v>
      </c>
      <c r="W382" s="123">
        <f t="shared" si="255"/>
        <v>111327</v>
      </c>
      <c r="X382" s="6"/>
      <c r="Y382" s="6"/>
      <c r="Z382" s="6"/>
      <c r="AA382" s="19">
        <f t="shared" si="256"/>
        <v>2257686</v>
      </c>
      <c r="AB382" s="19">
        <f t="shared" si="257"/>
        <v>2432928</v>
      </c>
      <c r="AC382" s="15">
        <f t="shared" si="258"/>
        <v>1826.66</v>
      </c>
      <c r="AD382" s="15">
        <f t="shared" si="259"/>
        <v>2432928.4500000002</v>
      </c>
      <c r="AE382" s="25"/>
      <c r="AF382" s="157">
        <f t="shared" si="217"/>
        <v>0.45</v>
      </c>
    </row>
    <row r="383" spans="1:32" s="4" customFormat="1" x14ac:dyDescent="0.25">
      <c r="A383" s="64" t="s">
        <v>1157</v>
      </c>
      <c r="B383" s="69" t="s">
        <v>894</v>
      </c>
      <c r="C383" s="12" t="s">
        <v>72</v>
      </c>
      <c r="D383" s="13">
        <v>1331.9</v>
      </c>
      <c r="E383" s="18"/>
      <c r="F383" s="215">
        <v>228692.53</v>
      </c>
      <c r="G383" s="215">
        <f t="shared" si="232"/>
        <v>6353</v>
      </c>
      <c r="H383" s="19">
        <f t="shared" si="224"/>
        <v>235046</v>
      </c>
      <c r="I383" s="15"/>
      <c r="J383" s="22"/>
      <c r="K383" s="15"/>
      <c r="L383" s="15"/>
      <c r="M383" s="22"/>
      <c r="N383" s="22"/>
      <c r="O383" s="22">
        <f t="shared" si="234"/>
        <v>3184873</v>
      </c>
      <c r="P383" s="19">
        <f t="shared" si="235"/>
        <v>321672</v>
      </c>
      <c r="Q383" s="19">
        <f t="shared" si="245"/>
        <v>3506545</v>
      </c>
      <c r="R383" s="6">
        <f t="shared" si="233"/>
        <v>36819</v>
      </c>
      <c r="S383" s="6"/>
      <c r="T383" s="6"/>
      <c r="U383" s="123">
        <f t="shared" si="253"/>
        <v>316268</v>
      </c>
      <c r="V383" s="123">
        <f t="shared" si="254"/>
        <v>7165</v>
      </c>
      <c r="W383" s="123">
        <f t="shared" si="255"/>
        <v>200561</v>
      </c>
      <c r="X383" s="6"/>
      <c r="Y383" s="6"/>
      <c r="Z383" s="6"/>
      <c r="AA383" s="19">
        <f t="shared" si="256"/>
        <v>4067358</v>
      </c>
      <c r="AB383" s="19">
        <f t="shared" si="257"/>
        <v>4383066</v>
      </c>
      <c r="AC383" s="15">
        <f t="shared" si="258"/>
        <v>3290.84</v>
      </c>
      <c r="AD383" s="15">
        <f t="shared" si="259"/>
        <v>4383069.8</v>
      </c>
      <c r="AE383" s="25"/>
      <c r="AF383" s="157">
        <f t="shared" si="217"/>
        <v>3.8</v>
      </c>
    </row>
    <row r="384" spans="1:32" s="4" customFormat="1" ht="25.5" x14ac:dyDescent="0.25">
      <c r="A384" s="64" t="s">
        <v>1158</v>
      </c>
      <c r="B384" s="69" t="s">
        <v>1035</v>
      </c>
      <c r="C384" s="12" t="s">
        <v>72</v>
      </c>
      <c r="D384" s="13">
        <v>226.9</v>
      </c>
      <c r="E384" s="18"/>
      <c r="F384" s="215">
        <v>24144.560000000001</v>
      </c>
      <c r="G384" s="215">
        <f t="shared" si="232"/>
        <v>671</v>
      </c>
      <c r="H384" s="19">
        <f t="shared" si="224"/>
        <v>24816</v>
      </c>
      <c r="I384" s="15"/>
      <c r="J384" s="22"/>
      <c r="K384" s="15"/>
      <c r="L384" s="15"/>
      <c r="M384" s="22"/>
      <c r="N384" s="22"/>
      <c r="O384" s="22">
        <f t="shared" si="234"/>
        <v>336257</v>
      </c>
      <c r="P384" s="19">
        <f t="shared" si="235"/>
        <v>33962</v>
      </c>
      <c r="Q384" s="19">
        <f t="shared" si="245"/>
        <v>370219</v>
      </c>
      <c r="R384" s="6">
        <f t="shared" si="233"/>
        <v>3887</v>
      </c>
      <c r="S384" s="6"/>
      <c r="T384" s="6"/>
      <c r="U384" s="123">
        <f t="shared" si="253"/>
        <v>33391</v>
      </c>
      <c r="V384" s="123">
        <f t="shared" si="254"/>
        <v>756</v>
      </c>
      <c r="W384" s="123">
        <f t="shared" si="255"/>
        <v>21175</v>
      </c>
      <c r="X384" s="6"/>
      <c r="Y384" s="6"/>
      <c r="Z384" s="6"/>
      <c r="AA384" s="19">
        <f t="shared" si="256"/>
        <v>429428</v>
      </c>
      <c r="AB384" s="19">
        <f t="shared" si="257"/>
        <v>462760</v>
      </c>
      <c r="AC384" s="15">
        <f t="shared" si="258"/>
        <v>2039.49</v>
      </c>
      <c r="AD384" s="15">
        <f t="shared" si="259"/>
        <v>462760.28</v>
      </c>
      <c r="AE384" s="25"/>
      <c r="AF384" s="157">
        <f t="shared" si="217"/>
        <v>0.28000000000000003</v>
      </c>
    </row>
    <row r="385" spans="1:32" s="4" customFormat="1" ht="25.5" x14ac:dyDescent="0.25">
      <c r="A385" s="64" t="s">
        <v>1159</v>
      </c>
      <c r="B385" s="69" t="s">
        <v>1036</v>
      </c>
      <c r="C385" s="12" t="s">
        <v>72</v>
      </c>
      <c r="D385" s="13">
        <v>235.3</v>
      </c>
      <c r="E385" s="18"/>
      <c r="F385" s="215">
        <v>15056.39</v>
      </c>
      <c r="G385" s="215">
        <f t="shared" si="232"/>
        <v>418</v>
      </c>
      <c r="H385" s="19">
        <f t="shared" si="224"/>
        <v>15474</v>
      </c>
      <c r="I385" s="15"/>
      <c r="J385" s="22"/>
      <c r="K385" s="15"/>
      <c r="L385" s="15"/>
      <c r="M385" s="22"/>
      <c r="N385" s="22"/>
      <c r="O385" s="22">
        <f t="shared" si="234"/>
        <v>209673</v>
      </c>
      <c r="P385" s="19">
        <f t="shared" si="235"/>
        <v>21177</v>
      </c>
      <c r="Q385" s="19">
        <f t="shared" si="245"/>
        <v>230850</v>
      </c>
      <c r="R385" s="6">
        <f t="shared" si="233"/>
        <v>2424</v>
      </c>
      <c r="S385" s="6"/>
      <c r="T385" s="6"/>
      <c r="U385" s="123">
        <f t="shared" si="253"/>
        <v>20821</v>
      </c>
      <c r="V385" s="123">
        <f t="shared" si="254"/>
        <v>472</v>
      </c>
      <c r="W385" s="123">
        <f t="shared" si="255"/>
        <v>13204</v>
      </c>
      <c r="X385" s="6"/>
      <c r="Y385" s="6"/>
      <c r="Z385" s="6"/>
      <c r="AA385" s="19">
        <f t="shared" si="256"/>
        <v>267771</v>
      </c>
      <c r="AB385" s="19">
        <f t="shared" si="257"/>
        <v>288555</v>
      </c>
      <c r="AC385" s="15">
        <f t="shared" si="258"/>
        <v>1226.33</v>
      </c>
      <c r="AD385" s="15">
        <f t="shared" si="259"/>
        <v>288555.45</v>
      </c>
      <c r="AE385" s="25"/>
      <c r="AF385" s="157">
        <f t="shared" si="217"/>
        <v>0.45</v>
      </c>
    </row>
    <row r="386" spans="1:32" s="4" customFormat="1" x14ac:dyDescent="0.25">
      <c r="A386" s="64" t="s">
        <v>1160</v>
      </c>
      <c r="B386" s="69" t="s">
        <v>897</v>
      </c>
      <c r="C386" s="12" t="s">
        <v>890</v>
      </c>
      <c r="D386" s="13">
        <v>75.099999999999994</v>
      </c>
      <c r="E386" s="18"/>
      <c r="F386" s="215">
        <v>308630</v>
      </c>
      <c r="G386" s="215">
        <f t="shared" si="232"/>
        <v>8574</v>
      </c>
      <c r="H386" s="19">
        <f t="shared" si="224"/>
        <v>317204</v>
      </c>
      <c r="I386" s="15"/>
      <c r="J386" s="22"/>
      <c r="K386" s="15"/>
      <c r="L386" s="15"/>
      <c r="M386" s="22"/>
      <c r="N386" s="22"/>
      <c r="O386" s="22">
        <f t="shared" si="234"/>
        <v>4298114</v>
      </c>
      <c r="P386" s="19">
        <f t="shared" si="235"/>
        <v>434110</v>
      </c>
      <c r="Q386" s="19">
        <f t="shared" si="245"/>
        <v>4732224</v>
      </c>
      <c r="R386" s="6">
        <f t="shared" si="233"/>
        <v>49688</v>
      </c>
      <c r="S386" s="6"/>
      <c r="T386" s="6"/>
      <c r="U386" s="123">
        <f t="shared" si="253"/>
        <v>426816</v>
      </c>
      <c r="V386" s="123">
        <f t="shared" si="254"/>
        <v>9669</v>
      </c>
      <c r="W386" s="123">
        <f t="shared" si="255"/>
        <v>270666</v>
      </c>
      <c r="X386" s="6"/>
      <c r="Y386" s="6"/>
      <c r="Z386" s="6"/>
      <c r="AA386" s="19">
        <f t="shared" si="256"/>
        <v>5489063</v>
      </c>
      <c r="AB386" s="19">
        <f t="shared" si="257"/>
        <v>5915124</v>
      </c>
      <c r="AC386" s="15">
        <f t="shared" si="258"/>
        <v>78763.3</v>
      </c>
      <c r="AD386" s="15">
        <f t="shared" si="259"/>
        <v>5915123.8300000001</v>
      </c>
      <c r="AE386" s="25"/>
      <c r="AF386" s="157">
        <f t="shared" si="217"/>
        <v>-0.17</v>
      </c>
    </row>
    <row r="387" spans="1:32" s="4" customFormat="1" ht="25.5" x14ac:dyDescent="0.25">
      <c r="A387" s="64" t="s">
        <v>1161</v>
      </c>
      <c r="B387" s="69" t="s">
        <v>898</v>
      </c>
      <c r="C387" s="12" t="s">
        <v>890</v>
      </c>
      <c r="D387" s="13">
        <v>168.3</v>
      </c>
      <c r="E387" s="18"/>
      <c r="F387" s="215">
        <v>230805.52</v>
      </c>
      <c r="G387" s="215">
        <f t="shared" si="232"/>
        <v>6412</v>
      </c>
      <c r="H387" s="19">
        <f t="shared" si="224"/>
        <v>237218</v>
      </c>
      <c r="I387" s="15"/>
      <c r="J387" s="22"/>
      <c r="K387" s="15"/>
      <c r="L387" s="15"/>
      <c r="M387" s="22"/>
      <c r="N387" s="22"/>
      <c r="O387" s="22">
        <f t="shared" si="234"/>
        <v>3214304</v>
      </c>
      <c r="P387" s="19">
        <f t="shared" si="235"/>
        <v>324645</v>
      </c>
      <c r="Q387" s="19">
        <f t="shared" si="245"/>
        <v>3538949</v>
      </c>
      <c r="R387" s="6">
        <f t="shared" si="233"/>
        <v>37159</v>
      </c>
      <c r="S387" s="6"/>
      <c r="T387" s="6"/>
      <c r="U387" s="123">
        <f t="shared" si="253"/>
        <v>319190</v>
      </c>
      <c r="V387" s="123">
        <f t="shared" si="254"/>
        <v>7231</v>
      </c>
      <c r="W387" s="123">
        <f t="shared" si="255"/>
        <v>202415</v>
      </c>
      <c r="X387" s="6"/>
      <c r="Y387" s="6"/>
      <c r="Z387" s="6"/>
      <c r="AA387" s="19">
        <f t="shared" si="256"/>
        <v>4104944</v>
      </c>
      <c r="AB387" s="19">
        <f t="shared" si="257"/>
        <v>4423570</v>
      </c>
      <c r="AC387" s="15">
        <f t="shared" si="258"/>
        <v>26283.84</v>
      </c>
      <c r="AD387" s="15">
        <f t="shared" si="259"/>
        <v>4423570.2699999996</v>
      </c>
      <c r="AE387" s="25"/>
      <c r="AF387" s="157">
        <f t="shared" si="217"/>
        <v>0.27</v>
      </c>
    </row>
    <row r="388" spans="1:32" s="4" customFormat="1" x14ac:dyDescent="0.25">
      <c r="A388" s="64" t="s">
        <v>1162</v>
      </c>
      <c r="B388" s="69" t="s">
        <v>1037</v>
      </c>
      <c r="C388" s="12" t="s">
        <v>890</v>
      </c>
      <c r="D388" s="13">
        <v>25</v>
      </c>
      <c r="E388" s="18"/>
      <c r="F388" s="215">
        <v>14555.35</v>
      </c>
      <c r="G388" s="215">
        <f t="shared" si="232"/>
        <v>404</v>
      </c>
      <c r="H388" s="19">
        <f t="shared" si="224"/>
        <v>14959</v>
      </c>
      <c r="I388" s="15"/>
      <c r="J388" s="22"/>
      <c r="K388" s="15"/>
      <c r="L388" s="15"/>
      <c r="M388" s="22"/>
      <c r="N388" s="22"/>
      <c r="O388" s="22">
        <f t="shared" si="234"/>
        <v>202694</v>
      </c>
      <c r="P388" s="19">
        <f t="shared" si="235"/>
        <v>20472</v>
      </c>
      <c r="Q388" s="19">
        <f t="shared" si="245"/>
        <v>223166</v>
      </c>
      <c r="R388" s="6">
        <f t="shared" si="233"/>
        <v>2343</v>
      </c>
      <c r="S388" s="6"/>
      <c r="T388" s="6"/>
      <c r="U388" s="123">
        <f t="shared" si="253"/>
        <v>20128</v>
      </c>
      <c r="V388" s="123">
        <f t="shared" si="254"/>
        <v>456</v>
      </c>
      <c r="W388" s="123">
        <f t="shared" si="255"/>
        <v>12764</v>
      </c>
      <c r="X388" s="6"/>
      <c r="Y388" s="6"/>
      <c r="Z388" s="6"/>
      <c r="AA388" s="19">
        <f t="shared" si="256"/>
        <v>258857</v>
      </c>
      <c r="AB388" s="19">
        <f t="shared" si="257"/>
        <v>278949</v>
      </c>
      <c r="AC388" s="15">
        <f t="shared" si="258"/>
        <v>11157.96</v>
      </c>
      <c r="AD388" s="15">
        <f t="shared" si="259"/>
        <v>278949</v>
      </c>
      <c r="AE388" s="25"/>
      <c r="AF388" s="157">
        <f t="shared" si="217"/>
        <v>0</v>
      </c>
    </row>
    <row r="389" spans="1:32" s="4" customFormat="1" ht="25.5" x14ac:dyDescent="0.25">
      <c r="A389" s="64" t="s">
        <v>1163</v>
      </c>
      <c r="B389" s="69" t="s">
        <v>1038</v>
      </c>
      <c r="C389" s="12" t="s">
        <v>890</v>
      </c>
      <c r="D389" s="13">
        <v>168.3</v>
      </c>
      <c r="E389" s="18"/>
      <c r="F389" s="215">
        <v>18533.23</v>
      </c>
      <c r="G389" s="215">
        <f t="shared" si="232"/>
        <v>515</v>
      </c>
      <c r="H389" s="19">
        <f t="shared" si="224"/>
        <v>19048</v>
      </c>
      <c r="I389" s="15"/>
      <c r="J389" s="22"/>
      <c r="K389" s="15"/>
      <c r="L389" s="15"/>
      <c r="M389" s="22"/>
      <c r="N389" s="22"/>
      <c r="O389" s="22">
        <f t="shared" si="234"/>
        <v>258100</v>
      </c>
      <c r="P389" s="19">
        <f t="shared" si="235"/>
        <v>26068</v>
      </c>
      <c r="Q389" s="19">
        <f t="shared" si="245"/>
        <v>284168</v>
      </c>
      <c r="R389" s="6">
        <f t="shared" si="233"/>
        <v>2984</v>
      </c>
      <c r="S389" s="6"/>
      <c r="T389" s="6"/>
      <c r="U389" s="123">
        <f t="shared" si="253"/>
        <v>25630</v>
      </c>
      <c r="V389" s="123">
        <f t="shared" si="254"/>
        <v>581</v>
      </c>
      <c r="W389" s="123">
        <f t="shared" si="255"/>
        <v>16253</v>
      </c>
      <c r="X389" s="6"/>
      <c r="Y389" s="6"/>
      <c r="Z389" s="6"/>
      <c r="AA389" s="19">
        <f t="shared" si="256"/>
        <v>329616</v>
      </c>
      <c r="AB389" s="19">
        <f t="shared" si="257"/>
        <v>355201</v>
      </c>
      <c r="AC389" s="15">
        <f t="shared" si="258"/>
        <v>2110.52</v>
      </c>
      <c r="AD389" s="15">
        <f t="shared" si="259"/>
        <v>355200.52</v>
      </c>
      <c r="AE389" s="25"/>
      <c r="AF389" s="157">
        <f t="shared" si="217"/>
        <v>-0.48</v>
      </c>
    </row>
    <row r="390" spans="1:32" s="4" customFormat="1" x14ac:dyDescent="0.25">
      <c r="A390" s="23" t="s">
        <v>1164</v>
      </c>
      <c r="B390" s="26" t="s">
        <v>899</v>
      </c>
      <c r="C390" s="21"/>
      <c r="D390" s="212"/>
      <c r="E390" s="213"/>
      <c r="F390" s="216"/>
      <c r="G390" s="215"/>
      <c r="H390" s="19"/>
      <c r="I390" s="32"/>
      <c r="J390" s="22"/>
      <c r="K390" s="15"/>
      <c r="L390" s="15"/>
      <c r="M390" s="31"/>
      <c r="N390" s="31"/>
      <c r="O390" s="22"/>
      <c r="P390" s="19"/>
      <c r="Q390" s="19"/>
      <c r="R390" s="6"/>
      <c r="S390" s="6"/>
      <c r="T390" s="6"/>
      <c r="U390" s="123"/>
      <c r="V390" s="123"/>
      <c r="W390" s="123"/>
      <c r="X390" s="6"/>
      <c r="Y390" s="6"/>
      <c r="Z390" s="6"/>
      <c r="AA390" s="19"/>
      <c r="AB390" s="19"/>
      <c r="AC390" s="15"/>
      <c r="AD390" s="15"/>
      <c r="AE390" s="25"/>
      <c r="AF390" s="157">
        <f t="shared" si="217"/>
        <v>0</v>
      </c>
    </row>
    <row r="391" spans="1:32" s="4" customFormat="1" x14ac:dyDescent="0.25">
      <c r="A391" s="64" t="s">
        <v>1165</v>
      </c>
      <c r="B391" s="69" t="s">
        <v>900</v>
      </c>
      <c r="C391" s="12" t="s">
        <v>70</v>
      </c>
      <c r="D391" s="13">
        <f>40.7</f>
        <v>40.700000000000003</v>
      </c>
      <c r="E391" s="18"/>
      <c r="F391" s="215">
        <v>17019.97</v>
      </c>
      <c r="G391" s="215">
        <f t="shared" si="232"/>
        <v>473</v>
      </c>
      <c r="H391" s="19">
        <f t="shared" si="224"/>
        <v>17493</v>
      </c>
      <c r="I391" s="15"/>
      <c r="J391" s="22"/>
      <c r="K391" s="15"/>
      <c r="L391" s="15"/>
      <c r="M391" s="22"/>
      <c r="N391" s="22"/>
      <c r="O391" s="22">
        <f t="shared" si="234"/>
        <v>237030</v>
      </c>
      <c r="P391" s="19">
        <f t="shared" si="235"/>
        <v>23940</v>
      </c>
      <c r="Q391" s="19">
        <f t="shared" si="245"/>
        <v>260970</v>
      </c>
      <c r="R391" s="6">
        <f t="shared" si="233"/>
        <v>2740</v>
      </c>
      <c r="S391" s="6"/>
      <c r="T391" s="6"/>
      <c r="U391" s="123">
        <f t="shared" ref="U391:U404" si="260">Q391*$U$7</f>
        <v>23538</v>
      </c>
      <c r="V391" s="123">
        <f t="shared" ref="V391:V404" si="261">Q391*$V$7</f>
        <v>533</v>
      </c>
      <c r="W391" s="123">
        <f t="shared" ref="W391:W404" si="262">Q391*$W$7</f>
        <v>14927</v>
      </c>
      <c r="X391" s="6"/>
      <c r="Y391" s="6"/>
      <c r="Z391" s="6"/>
      <c r="AA391" s="19">
        <f t="shared" ref="AA391:AA404" si="263">SUM(Q391:Z391)</f>
        <v>302708</v>
      </c>
      <c r="AB391" s="19">
        <f t="shared" ref="AB391:AB404" si="264">$AA391*AB$7</f>
        <v>326204</v>
      </c>
      <c r="AC391" s="15">
        <f t="shared" ref="AC391:AC404" si="265">AB391/D391</f>
        <v>8014.84</v>
      </c>
      <c r="AD391" s="15">
        <f t="shared" ref="AD391:AD404" si="266">AC391*D391</f>
        <v>326203.99</v>
      </c>
      <c r="AE391" s="25"/>
      <c r="AF391" s="157">
        <f t="shared" si="217"/>
        <v>-0.01</v>
      </c>
    </row>
    <row r="392" spans="1:32" s="4" customFormat="1" x14ac:dyDescent="0.25">
      <c r="A392" s="64" t="s">
        <v>1166</v>
      </c>
      <c r="B392" s="69" t="s">
        <v>1039</v>
      </c>
      <c r="C392" s="12" t="s">
        <v>70</v>
      </c>
      <c r="D392" s="13">
        <v>68.900000000000006</v>
      </c>
      <c r="E392" s="18"/>
      <c r="F392" s="215">
        <v>226162.24</v>
      </c>
      <c r="G392" s="215">
        <f t="shared" si="232"/>
        <v>6283</v>
      </c>
      <c r="H392" s="19">
        <f t="shared" si="224"/>
        <v>232445</v>
      </c>
      <c r="I392" s="15"/>
      <c r="J392" s="22"/>
      <c r="K392" s="15"/>
      <c r="L392" s="15"/>
      <c r="M392" s="22"/>
      <c r="N392" s="22"/>
      <c r="O392" s="22">
        <f t="shared" si="234"/>
        <v>3149630</v>
      </c>
      <c r="P392" s="19">
        <f t="shared" si="235"/>
        <v>318113</v>
      </c>
      <c r="Q392" s="19">
        <f t="shared" si="245"/>
        <v>3467743</v>
      </c>
      <c r="R392" s="6">
        <f t="shared" si="233"/>
        <v>36411</v>
      </c>
      <c r="S392" s="6"/>
      <c r="T392" s="6"/>
      <c r="U392" s="123">
        <f t="shared" si="260"/>
        <v>312768</v>
      </c>
      <c r="V392" s="123">
        <f t="shared" si="261"/>
        <v>7085</v>
      </c>
      <c r="W392" s="123">
        <f t="shared" si="262"/>
        <v>198342</v>
      </c>
      <c r="X392" s="6"/>
      <c r="Y392" s="6"/>
      <c r="Z392" s="6"/>
      <c r="AA392" s="19">
        <f t="shared" si="263"/>
        <v>4022349</v>
      </c>
      <c r="AB392" s="19">
        <f t="shared" si="264"/>
        <v>4334564</v>
      </c>
      <c r="AC392" s="15">
        <f t="shared" si="265"/>
        <v>62910.94</v>
      </c>
      <c r="AD392" s="15">
        <f t="shared" si="266"/>
        <v>4334563.7699999996</v>
      </c>
      <c r="AE392" s="25"/>
      <c r="AF392" s="157">
        <f t="shared" si="217"/>
        <v>-0.23</v>
      </c>
    </row>
    <row r="393" spans="1:32" s="4" customFormat="1" x14ac:dyDescent="0.25">
      <c r="A393" s="64" t="s">
        <v>1167</v>
      </c>
      <c r="B393" s="69" t="s">
        <v>872</v>
      </c>
      <c r="C393" s="12" t="s">
        <v>72</v>
      </c>
      <c r="D393" s="13">
        <v>55.5</v>
      </c>
      <c r="E393" s="18"/>
      <c r="F393" s="215">
        <v>4869.24</v>
      </c>
      <c r="G393" s="215">
        <f t="shared" si="232"/>
        <v>135</v>
      </c>
      <c r="H393" s="19">
        <f t="shared" si="224"/>
        <v>5004</v>
      </c>
      <c r="I393" s="15"/>
      <c r="J393" s="22"/>
      <c r="K393" s="15"/>
      <c r="L393" s="15"/>
      <c r="M393" s="22"/>
      <c r="N393" s="22"/>
      <c r="O393" s="22">
        <f t="shared" si="234"/>
        <v>67804</v>
      </c>
      <c r="P393" s="19">
        <f t="shared" si="235"/>
        <v>6848</v>
      </c>
      <c r="Q393" s="19">
        <f t="shared" si="245"/>
        <v>74652</v>
      </c>
      <c r="R393" s="6">
        <f t="shared" si="233"/>
        <v>784</v>
      </c>
      <c r="S393" s="6"/>
      <c r="T393" s="6"/>
      <c r="U393" s="123">
        <f t="shared" si="260"/>
        <v>6733</v>
      </c>
      <c r="V393" s="123">
        <f t="shared" si="261"/>
        <v>153</v>
      </c>
      <c r="W393" s="123">
        <f t="shared" si="262"/>
        <v>4270</v>
      </c>
      <c r="X393" s="6"/>
      <c r="Y393" s="6"/>
      <c r="Z393" s="6"/>
      <c r="AA393" s="19">
        <f t="shared" si="263"/>
        <v>86592</v>
      </c>
      <c r="AB393" s="19">
        <f t="shared" si="264"/>
        <v>93313</v>
      </c>
      <c r="AC393" s="15">
        <f t="shared" si="265"/>
        <v>1681.32</v>
      </c>
      <c r="AD393" s="15">
        <f t="shared" si="266"/>
        <v>93313.26</v>
      </c>
      <c r="AE393" s="25"/>
      <c r="AF393" s="157">
        <f t="shared" si="217"/>
        <v>0.26</v>
      </c>
    </row>
    <row r="394" spans="1:32" s="4" customFormat="1" x14ac:dyDescent="0.25">
      <c r="A394" s="64" t="s">
        <v>1168</v>
      </c>
      <c r="B394" s="69" t="s">
        <v>1040</v>
      </c>
      <c r="C394" s="12" t="s">
        <v>72</v>
      </c>
      <c r="D394" s="13">
        <v>18.3</v>
      </c>
      <c r="E394" s="18"/>
      <c r="F394" s="215">
        <v>827.28</v>
      </c>
      <c r="G394" s="215">
        <f t="shared" si="232"/>
        <v>23</v>
      </c>
      <c r="H394" s="19">
        <f t="shared" si="224"/>
        <v>850</v>
      </c>
      <c r="I394" s="15"/>
      <c r="J394" s="22"/>
      <c r="K394" s="15"/>
      <c r="L394" s="15"/>
      <c r="M394" s="22"/>
      <c r="N394" s="22"/>
      <c r="O394" s="22">
        <f t="shared" si="234"/>
        <v>11518</v>
      </c>
      <c r="P394" s="19">
        <f t="shared" si="235"/>
        <v>1163</v>
      </c>
      <c r="Q394" s="19">
        <f t="shared" si="245"/>
        <v>12681</v>
      </c>
      <c r="R394" s="6">
        <f t="shared" si="233"/>
        <v>133</v>
      </c>
      <c r="S394" s="6"/>
      <c r="T394" s="6"/>
      <c r="U394" s="123">
        <f t="shared" si="260"/>
        <v>1144</v>
      </c>
      <c r="V394" s="123">
        <f t="shared" si="261"/>
        <v>26</v>
      </c>
      <c r="W394" s="123">
        <f t="shared" si="262"/>
        <v>725</v>
      </c>
      <c r="X394" s="6"/>
      <c r="Y394" s="6"/>
      <c r="Z394" s="6"/>
      <c r="AA394" s="19">
        <f t="shared" si="263"/>
        <v>14709</v>
      </c>
      <c r="AB394" s="19">
        <f t="shared" si="264"/>
        <v>15851</v>
      </c>
      <c r="AC394" s="15">
        <f t="shared" si="265"/>
        <v>866.17</v>
      </c>
      <c r="AD394" s="15">
        <f t="shared" si="266"/>
        <v>15850.91</v>
      </c>
      <c r="AE394" s="25"/>
      <c r="AF394" s="157">
        <f t="shared" si="217"/>
        <v>-0.09</v>
      </c>
    </row>
    <row r="395" spans="1:32" s="4" customFormat="1" x14ac:dyDescent="0.25">
      <c r="A395" s="64" t="s">
        <v>1169</v>
      </c>
      <c r="B395" s="69" t="s">
        <v>906</v>
      </c>
      <c r="C395" s="12" t="s">
        <v>72</v>
      </c>
      <c r="D395" s="13">
        <v>106.5</v>
      </c>
      <c r="E395" s="18"/>
      <c r="F395" s="215">
        <v>30900.16</v>
      </c>
      <c r="G395" s="215">
        <f t="shared" si="232"/>
        <v>858</v>
      </c>
      <c r="H395" s="19">
        <f t="shared" si="224"/>
        <v>31758</v>
      </c>
      <c r="I395" s="15"/>
      <c r="J395" s="22"/>
      <c r="K395" s="15"/>
      <c r="L395" s="15"/>
      <c r="M395" s="22"/>
      <c r="N395" s="22"/>
      <c r="O395" s="22">
        <f t="shared" si="234"/>
        <v>430321</v>
      </c>
      <c r="P395" s="19">
        <f t="shared" si="235"/>
        <v>43462</v>
      </c>
      <c r="Q395" s="19">
        <f t="shared" si="245"/>
        <v>473783</v>
      </c>
      <c r="R395" s="6">
        <f t="shared" si="233"/>
        <v>4975</v>
      </c>
      <c r="S395" s="6"/>
      <c r="T395" s="6"/>
      <c r="U395" s="123">
        <f t="shared" si="260"/>
        <v>42732</v>
      </c>
      <c r="V395" s="123">
        <f t="shared" si="261"/>
        <v>968</v>
      </c>
      <c r="W395" s="123">
        <f t="shared" si="262"/>
        <v>27099</v>
      </c>
      <c r="X395" s="6"/>
      <c r="Y395" s="6"/>
      <c r="Z395" s="6"/>
      <c r="AA395" s="19">
        <f t="shared" si="263"/>
        <v>549557</v>
      </c>
      <c r="AB395" s="19">
        <f t="shared" si="264"/>
        <v>592214</v>
      </c>
      <c r="AC395" s="15">
        <f t="shared" si="265"/>
        <v>5560.69</v>
      </c>
      <c r="AD395" s="15">
        <f t="shared" si="266"/>
        <v>592213.49</v>
      </c>
      <c r="AE395" s="25"/>
      <c r="AF395" s="157">
        <f t="shared" si="217"/>
        <v>-0.51</v>
      </c>
    </row>
    <row r="396" spans="1:32" s="4" customFormat="1" x14ac:dyDescent="0.25">
      <c r="A396" s="64" t="s">
        <v>1170</v>
      </c>
      <c r="B396" s="69" t="s">
        <v>893</v>
      </c>
      <c r="C396" s="12" t="s">
        <v>72</v>
      </c>
      <c r="D396" s="13">
        <v>137.69999999999999</v>
      </c>
      <c r="E396" s="18"/>
      <c r="F396" s="215">
        <v>18558.64</v>
      </c>
      <c r="G396" s="215">
        <f t="shared" si="232"/>
        <v>516</v>
      </c>
      <c r="H396" s="19">
        <f t="shared" si="224"/>
        <v>19075</v>
      </c>
      <c r="I396" s="15"/>
      <c r="J396" s="22"/>
      <c r="K396" s="15"/>
      <c r="L396" s="15"/>
      <c r="M396" s="22"/>
      <c r="N396" s="22"/>
      <c r="O396" s="22">
        <f t="shared" si="234"/>
        <v>258466</v>
      </c>
      <c r="P396" s="19">
        <f t="shared" si="235"/>
        <v>26105</v>
      </c>
      <c r="Q396" s="19">
        <f t="shared" si="245"/>
        <v>284571</v>
      </c>
      <c r="R396" s="6">
        <f t="shared" si="233"/>
        <v>2988</v>
      </c>
      <c r="S396" s="6"/>
      <c r="T396" s="6"/>
      <c r="U396" s="123">
        <f t="shared" si="260"/>
        <v>25666</v>
      </c>
      <c r="V396" s="123">
        <f t="shared" si="261"/>
        <v>581</v>
      </c>
      <c r="W396" s="123">
        <f t="shared" si="262"/>
        <v>16276</v>
      </c>
      <c r="X396" s="6"/>
      <c r="Y396" s="6"/>
      <c r="Z396" s="6"/>
      <c r="AA396" s="19">
        <f t="shared" si="263"/>
        <v>330082</v>
      </c>
      <c r="AB396" s="19">
        <f t="shared" si="264"/>
        <v>355703</v>
      </c>
      <c r="AC396" s="15">
        <f t="shared" si="265"/>
        <v>2583.17</v>
      </c>
      <c r="AD396" s="15">
        <f t="shared" si="266"/>
        <v>355702.51</v>
      </c>
      <c r="AE396" s="25"/>
      <c r="AF396" s="157">
        <f t="shared" si="217"/>
        <v>-0.49</v>
      </c>
    </row>
    <row r="397" spans="1:32" s="4" customFormat="1" x14ac:dyDescent="0.25">
      <c r="A397" s="64" t="s">
        <v>1171</v>
      </c>
      <c r="B397" s="69" t="s">
        <v>894</v>
      </c>
      <c r="C397" s="12" t="s">
        <v>72</v>
      </c>
      <c r="D397" s="13">
        <v>137.69999999999999</v>
      </c>
      <c r="E397" s="18"/>
      <c r="F397" s="215">
        <v>12270.37</v>
      </c>
      <c r="G397" s="215">
        <f t="shared" si="232"/>
        <v>341</v>
      </c>
      <c r="H397" s="19">
        <f t="shared" si="224"/>
        <v>12611</v>
      </c>
      <c r="I397" s="15"/>
      <c r="J397" s="22"/>
      <c r="K397" s="15"/>
      <c r="L397" s="15"/>
      <c r="M397" s="22"/>
      <c r="N397" s="22"/>
      <c r="O397" s="22">
        <f t="shared" si="234"/>
        <v>170879</v>
      </c>
      <c r="P397" s="19">
        <f t="shared" si="235"/>
        <v>17259</v>
      </c>
      <c r="Q397" s="19">
        <f t="shared" si="245"/>
        <v>188138</v>
      </c>
      <c r="R397" s="6">
        <f t="shared" si="233"/>
        <v>1975</v>
      </c>
      <c r="S397" s="6"/>
      <c r="T397" s="6"/>
      <c r="U397" s="123">
        <f t="shared" si="260"/>
        <v>16969</v>
      </c>
      <c r="V397" s="123">
        <f t="shared" si="261"/>
        <v>384</v>
      </c>
      <c r="W397" s="123">
        <f t="shared" si="262"/>
        <v>10761</v>
      </c>
      <c r="X397" s="6"/>
      <c r="Y397" s="6"/>
      <c r="Z397" s="6"/>
      <c r="AA397" s="19">
        <f t="shared" si="263"/>
        <v>218227</v>
      </c>
      <c r="AB397" s="19">
        <f t="shared" si="264"/>
        <v>235166</v>
      </c>
      <c r="AC397" s="15">
        <f t="shared" si="265"/>
        <v>1707.81</v>
      </c>
      <c r="AD397" s="15">
        <f t="shared" si="266"/>
        <v>235165.44</v>
      </c>
      <c r="AE397" s="25"/>
      <c r="AF397" s="157">
        <f t="shared" si="217"/>
        <v>-0.56000000000000005</v>
      </c>
    </row>
    <row r="398" spans="1:32" s="4" customFormat="1" x14ac:dyDescent="0.25">
      <c r="A398" s="64" t="s">
        <v>1172</v>
      </c>
      <c r="B398" s="69" t="s">
        <v>1041</v>
      </c>
      <c r="C398" s="12" t="s">
        <v>72</v>
      </c>
      <c r="D398" s="13">
        <v>10</v>
      </c>
      <c r="E398" s="18"/>
      <c r="F398" s="215">
        <v>831.53</v>
      </c>
      <c r="G398" s="215">
        <f t="shared" si="232"/>
        <v>23</v>
      </c>
      <c r="H398" s="19">
        <f t="shared" si="224"/>
        <v>855</v>
      </c>
      <c r="I398" s="15"/>
      <c r="J398" s="22"/>
      <c r="K398" s="15"/>
      <c r="L398" s="15"/>
      <c r="M398" s="22"/>
      <c r="N398" s="22"/>
      <c r="O398" s="22">
        <f t="shared" si="234"/>
        <v>11585</v>
      </c>
      <c r="P398" s="19">
        <f t="shared" si="235"/>
        <v>1170</v>
      </c>
      <c r="Q398" s="19">
        <f t="shared" si="245"/>
        <v>12755</v>
      </c>
      <c r="R398" s="6">
        <f t="shared" si="233"/>
        <v>134</v>
      </c>
      <c r="S398" s="6"/>
      <c r="T398" s="6"/>
      <c r="U398" s="123">
        <f t="shared" si="260"/>
        <v>1150</v>
      </c>
      <c r="V398" s="123">
        <f t="shared" si="261"/>
        <v>26</v>
      </c>
      <c r="W398" s="123">
        <f t="shared" si="262"/>
        <v>730</v>
      </c>
      <c r="X398" s="6"/>
      <c r="Y398" s="6"/>
      <c r="Z398" s="6"/>
      <c r="AA398" s="19">
        <f t="shared" si="263"/>
        <v>14795</v>
      </c>
      <c r="AB398" s="19">
        <f t="shared" si="264"/>
        <v>15943</v>
      </c>
      <c r="AC398" s="15">
        <f t="shared" si="265"/>
        <v>1594.3</v>
      </c>
      <c r="AD398" s="15">
        <f t="shared" si="266"/>
        <v>15943</v>
      </c>
      <c r="AE398" s="25"/>
      <c r="AF398" s="157">
        <f t="shared" si="217"/>
        <v>0</v>
      </c>
    </row>
    <row r="399" spans="1:32" s="4" customFormat="1" x14ac:dyDescent="0.25">
      <c r="A399" s="64" t="s">
        <v>1173</v>
      </c>
      <c r="B399" s="69" t="s">
        <v>1042</v>
      </c>
      <c r="C399" s="12" t="s">
        <v>72</v>
      </c>
      <c r="D399" s="13">
        <v>24.2</v>
      </c>
      <c r="E399" s="18"/>
      <c r="F399" s="215">
        <v>4660.45</v>
      </c>
      <c r="G399" s="215">
        <f t="shared" si="232"/>
        <v>129</v>
      </c>
      <c r="H399" s="19">
        <f t="shared" si="224"/>
        <v>4789</v>
      </c>
      <c r="I399" s="15"/>
      <c r="J399" s="22"/>
      <c r="K399" s="15"/>
      <c r="L399" s="15"/>
      <c r="M399" s="22"/>
      <c r="N399" s="22"/>
      <c r="O399" s="22">
        <f t="shared" si="234"/>
        <v>64891</v>
      </c>
      <c r="P399" s="19">
        <f t="shared" si="235"/>
        <v>6554</v>
      </c>
      <c r="Q399" s="19">
        <f t="shared" si="245"/>
        <v>71445</v>
      </c>
      <c r="R399" s="6">
        <f t="shared" si="233"/>
        <v>750</v>
      </c>
      <c r="S399" s="6"/>
      <c r="T399" s="6"/>
      <c r="U399" s="123">
        <f t="shared" si="260"/>
        <v>6444</v>
      </c>
      <c r="V399" s="123">
        <f t="shared" si="261"/>
        <v>146</v>
      </c>
      <c r="W399" s="123">
        <f t="shared" si="262"/>
        <v>4086</v>
      </c>
      <c r="X399" s="6"/>
      <c r="Y399" s="6"/>
      <c r="Z399" s="6"/>
      <c r="AA399" s="19">
        <f t="shared" si="263"/>
        <v>82871</v>
      </c>
      <c r="AB399" s="19">
        <f t="shared" si="264"/>
        <v>89303</v>
      </c>
      <c r="AC399" s="15">
        <f t="shared" si="265"/>
        <v>3690.21</v>
      </c>
      <c r="AD399" s="15">
        <f t="shared" si="266"/>
        <v>89303.08</v>
      </c>
      <c r="AE399" s="25"/>
      <c r="AF399" s="157">
        <f t="shared" si="217"/>
        <v>0.08</v>
      </c>
    </row>
    <row r="400" spans="1:32" s="4" customFormat="1" x14ac:dyDescent="0.25">
      <c r="A400" s="64" t="s">
        <v>1174</v>
      </c>
      <c r="B400" s="69" t="s">
        <v>1043</v>
      </c>
      <c r="C400" s="12" t="s">
        <v>70</v>
      </c>
      <c r="D400" s="13">
        <v>1100</v>
      </c>
      <c r="E400" s="18"/>
      <c r="F400" s="215">
        <v>55068.99</v>
      </c>
      <c r="G400" s="215">
        <f t="shared" si="232"/>
        <v>1530</v>
      </c>
      <c r="H400" s="19">
        <f t="shared" si="224"/>
        <v>56599</v>
      </c>
      <c r="I400" s="15"/>
      <c r="J400" s="22"/>
      <c r="K400" s="15"/>
      <c r="L400" s="15"/>
      <c r="M400" s="22"/>
      <c r="N400" s="22"/>
      <c r="O400" s="22">
        <f t="shared" si="234"/>
        <v>766916</v>
      </c>
      <c r="P400" s="19">
        <f t="shared" si="235"/>
        <v>77459</v>
      </c>
      <c r="Q400" s="19">
        <f t="shared" si="245"/>
        <v>844375</v>
      </c>
      <c r="R400" s="6">
        <f t="shared" si="233"/>
        <v>8866</v>
      </c>
      <c r="S400" s="6"/>
      <c r="T400" s="6"/>
      <c r="U400" s="123">
        <f t="shared" si="260"/>
        <v>76157</v>
      </c>
      <c r="V400" s="123">
        <f t="shared" si="261"/>
        <v>1725</v>
      </c>
      <c r="W400" s="123">
        <f t="shared" si="262"/>
        <v>48295</v>
      </c>
      <c r="X400" s="6"/>
      <c r="Y400" s="6"/>
      <c r="Z400" s="6"/>
      <c r="AA400" s="19">
        <f t="shared" si="263"/>
        <v>979418</v>
      </c>
      <c r="AB400" s="19">
        <f t="shared" si="264"/>
        <v>1055440</v>
      </c>
      <c r="AC400" s="15">
        <f t="shared" si="265"/>
        <v>959.49</v>
      </c>
      <c r="AD400" s="15">
        <f t="shared" si="266"/>
        <v>1055439</v>
      </c>
      <c r="AE400" s="25"/>
      <c r="AF400" s="157">
        <f t="shared" si="217"/>
        <v>-1</v>
      </c>
    </row>
    <row r="401" spans="1:32" s="4" customFormat="1" x14ac:dyDescent="0.25">
      <c r="A401" s="64" t="s">
        <v>1175</v>
      </c>
      <c r="B401" s="69" t="s">
        <v>909</v>
      </c>
      <c r="C401" s="12" t="s">
        <v>70</v>
      </c>
      <c r="D401" s="13">
        <v>700</v>
      </c>
      <c r="E401" s="18"/>
      <c r="F401" s="215">
        <v>197285.82</v>
      </c>
      <c r="G401" s="215">
        <f t="shared" si="232"/>
        <v>5481</v>
      </c>
      <c r="H401" s="19">
        <f t="shared" si="224"/>
        <v>202767</v>
      </c>
      <c r="I401" s="15"/>
      <c r="J401" s="22"/>
      <c r="K401" s="15"/>
      <c r="L401" s="15"/>
      <c r="M401" s="22"/>
      <c r="N401" s="22"/>
      <c r="O401" s="22">
        <f t="shared" si="234"/>
        <v>2747493</v>
      </c>
      <c r="P401" s="19">
        <f t="shared" si="235"/>
        <v>277497</v>
      </c>
      <c r="Q401" s="19">
        <f t="shared" si="245"/>
        <v>3024990</v>
      </c>
      <c r="R401" s="6">
        <f t="shared" si="233"/>
        <v>31762</v>
      </c>
      <c r="S401" s="6"/>
      <c r="T401" s="6"/>
      <c r="U401" s="123">
        <f t="shared" si="260"/>
        <v>272834</v>
      </c>
      <c r="V401" s="123">
        <f t="shared" si="261"/>
        <v>6181</v>
      </c>
      <c r="W401" s="123">
        <f t="shared" si="262"/>
        <v>173018</v>
      </c>
      <c r="X401" s="6"/>
      <c r="Y401" s="6"/>
      <c r="Z401" s="6"/>
      <c r="AA401" s="19">
        <f t="shared" si="263"/>
        <v>3508785</v>
      </c>
      <c r="AB401" s="19">
        <f t="shared" si="264"/>
        <v>3781137</v>
      </c>
      <c r="AC401" s="15">
        <f t="shared" si="265"/>
        <v>5401.62</v>
      </c>
      <c r="AD401" s="15">
        <f t="shared" si="266"/>
        <v>3781134</v>
      </c>
      <c r="AE401" s="25"/>
      <c r="AF401" s="157">
        <f t="shared" si="217"/>
        <v>-3</v>
      </c>
    </row>
    <row r="402" spans="1:32" s="4" customFormat="1" x14ac:dyDescent="0.25">
      <c r="A402" s="64" t="s">
        <v>1176</v>
      </c>
      <c r="B402" s="69" t="s">
        <v>911</v>
      </c>
      <c r="C402" s="12" t="s">
        <v>70</v>
      </c>
      <c r="D402" s="13">
        <v>18.399999999999999</v>
      </c>
      <c r="E402" s="18"/>
      <c r="F402" s="215">
        <v>34490.43</v>
      </c>
      <c r="G402" s="215">
        <f t="shared" si="232"/>
        <v>958</v>
      </c>
      <c r="H402" s="19">
        <f t="shared" si="224"/>
        <v>35448</v>
      </c>
      <c r="I402" s="15"/>
      <c r="J402" s="22"/>
      <c r="K402" s="15"/>
      <c r="L402" s="15"/>
      <c r="M402" s="22"/>
      <c r="N402" s="22"/>
      <c r="O402" s="22">
        <f t="shared" si="234"/>
        <v>480320</v>
      </c>
      <c r="P402" s="19">
        <f t="shared" si="235"/>
        <v>48512</v>
      </c>
      <c r="Q402" s="19">
        <f t="shared" si="245"/>
        <v>528832</v>
      </c>
      <c r="R402" s="6">
        <f t="shared" si="233"/>
        <v>5553</v>
      </c>
      <c r="S402" s="6"/>
      <c r="T402" s="6"/>
      <c r="U402" s="123">
        <f t="shared" si="260"/>
        <v>47697</v>
      </c>
      <c r="V402" s="123">
        <f t="shared" si="261"/>
        <v>1081</v>
      </c>
      <c r="W402" s="123">
        <f t="shared" si="262"/>
        <v>30247</v>
      </c>
      <c r="X402" s="6"/>
      <c r="Y402" s="6"/>
      <c r="Z402" s="6"/>
      <c r="AA402" s="19">
        <f t="shared" si="263"/>
        <v>613410</v>
      </c>
      <c r="AB402" s="19">
        <f t="shared" si="264"/>
        <v>661023</v>
      </c>
      <c r="AC402" s="15">
        <f t="shared" si="265"/>
        <v>35925.160000000003</v>
      </c>
      <c r="AD402" s="15">
        <f t="shared" si="266"/>
        <v>661022.93999999994</v>
      </c>
      <c r="AE402" s="25"/>
      <c r="AF402" s="157">
        <f t="shared" si="217"/>
        <v>-0.06</v>
      </c>
    </row>
    <row r="403" spans="1:32" s="4" customFormat="1" ht="25.5" x14ac:dyDescent="0.25">
      <c r="A403" s="64" t="s">
        <v>1177</v>
      </c>
      <c r="B403" s="69" t="s">
        <v>912</v>
      </c>
      <c r="C403" s="12" t="s">
        <v>72</v>
      </c>
      <c r="D403" s="13">
        <v>390</v>
      </c>
      <c r="E403" s="18"/>
      <c r="F403" s="215">
        <v>74798.62</v>
      </c>
      <c r="G403" s="215">
        <f t="shared" si="232"/>
        <v>2078</v>
      </c>
      <c r="H403" s="19">
        <f t="shared" si="224"/>
        <v>76877</v>
      </c>
      <c r="I403" s="15"/>
      <c r="J403" s="22"/>
      <c r="K403" s="15"/>
      <c r="L403" s="15"/>
      <c r="M403" s="22"/>
      <c r="N403" s="22"/>
      <c r="O403" s="22">
        <f t="shared" si="234"/>
        <v>1041683</v>
      </c>
      <c r="P403" s="19">
        <f t="shared" si="235"/>
        <v>105210</v>
      </c>
      <c r="Q403" s="19">
        <f t="shared" si="245"/>
        <v>1146893</v>
      </c>
      <c r="R403" s="6">
        <f t="shared" si="233"/>
        <v>12042</v>
      </c>
      <c r="S403" s="6"/>
      <c r="T403" s="6"/>
      <c r="U403" s="123">
        <f t="shared" si="260"/>
        <v>103442</v>
      </c>
      <c r="V403" s="123">
        <f t="shared" si="261"/>
        <v>2343</v>
      </c>
      <c r="W403" s="123">
        <f t="shared" si="262"/>
        <v>65598</v>
      </c>
      <c r="X403" s="6"/>
      <c r="Y403" s="6"/>
      <c r="Z403" s="6"/>
      <c r="AA403" s="19">
        <f t="shared" si="263"/>
        <v>1330318</v>
      </c>
      <c r="AB403" s="19">
        <f t="shared" si="264"/>
        <v>1433577</v>
      </c>
      <c r="AC403" s="15">
        <f t="shared" si="265"/>
        <v>3675.84</v>
      </c>
      <c r="AD403" s="15">
        <f t="shared" si="266"/>
        <v>1433577.6</v>
      </c>
      <c r="AE403" s="25"/>
      <c r="AF403" s="157">
        <f t="shared" si="217"/>
        <v>0.6</v>
      </c>
    </row>
    <row r="404" spans="1:32" s="4" customFormat="1" x14ac:dyDescent="0.25">
      <c r="A404" s="64" t="s">
        <v>1178</v>
      </c>
      <c r="B404" s="69" t="s">
        <v>1044</v>
      </c>
      <c r="C404" s="12" t="s">
        <v>72</v>
      </c>
      <c r="D404" s="13">
        <v>400</v>
      </c>
      <c r="E404" s="18"/>
      <c r="F404" s="215">
        <v>11333.14</v>
      </c>
      <c r="G404" s="215">
        <f t="shared" si="232"/>
        <v>315</v>
      </c>
      <c r="H404" s="19">
        <f t="shared" si="224"/>
        <v>11648</v>
      </c>
      <c r="I404" s="15"/>
      <c r="J404" s="22"/>
      <c r="K404" s="15"/>
      <c r="L404" s="15"/>
      <c r="M404" s="22"/>
      <c r="N404" s="22"/>
      <c r="O404" s="22">
        <f t="shared" si="234"/>
        <v>157830</v>
      </c>
      <c r="P404" s="19">
        <f t="shared" si="235"/>
        <v>15941</v>
      </c>
      <c r="Q404" s="19">
        <f t="shared" si="245"/>
        <v>173771</v>
      </c>
      <c r="R404" s="6">
        <f t="shared" si="233"/>
        <v>1825</v>
      </c>
      <c r="S404" s="6"/>
      <c r="T404" s="6"/>
      <c r="U404" s="123">
        <f t="shared" si="260"/>
        <v>15673</v>
      </c>
      <c r="V404" s="123">
        <f t="shared" si="261"/>
        <v>355</v>
      </c>
      <c r="W404" s="123">
        <f t="shared" si="262"/>
        <v>9939</v>
      </c>
      <c r="X404" s="6"/>
      <c r="Y404" s="6"/>
      <c r="Z404" s="6"/>
      <c r="AA404" s="19">
        <f t="shared" si="263"/>
        <v>201563</v>
      </c>
      <c r="AB404" s="19">
        <f t="shared" si="264"/>
        <v>217208</v>
      </c>
      <c r="AC404" s="15">
        <f t="shared" si="265"/>
        <v>543.02</v>
      </c>
      <c r="AD404" s="15">
        <f t="shared" si="266"/>
        <v>217208</v>
      </c>
      <c r="AE404" s="25"/>
      <c r="AF404" s="157">
        <f t="shared" si="217"/>
        <v>0</v>
      </c>
    </row>
    <row r="405" spans="1:32" s="91" customFormat="1" ht="25.5" x14ac:dyDescent="0.25">
      <c r="A405" s="100" t="s">
        <v>139</v>
      </c>
      <c r="B405" s="101" t="s">
        <v>242</v>
      </c>
      <c r="C405" s="92"/>
      <c r="D405" s="93"/>
      <c r="E405" s="107"/>
      <c r="F405" s="107"/>
      <c r="G405" s="107"/>
      <c r="H405" s="99">
        <v>9429030</v>
      </c>
      <c r="I405" s="41"/>
      <c r="J405" s="20">
        <f>9429.03*1000</f>
        <v>9429030</v>
      </c>
      <c r="K405" s="20" t="s">
        <v>16</v>
      </c>
      <c r="L405" s="20">
        <f>H405-J405</f>
        <v>0</v>
      </c>
      <c r="M405" s="95">
        <v>127763420</v>
      </c>
      <c r="N405" s="50">
        <f>SUM(O407:O439)-M405</f>
        <v>-20</v>
      </c>
      <c r="O405" s="95"/>
      <c r="P405" s="50"/>
      <c r="Q405" s="50"/>
      <c r="R405" s="50"/>
      <c r="S405" s="104"/>
      <c r="T405" s="104"/>
      <c r="U405" s="123"/>
      <c r="V405" s="123"/>
      <c r="W405" s="104"/>
      <c r="X405" s="104"/>
      <c r="Y405" s="6"/>
      <c r="Z405" s="104"/>
      <c r="AA405" s="50"/>
      <c r="AB405" s="50"/>
      <c r="AC405" s="20"/>
      <c r="AD405" s="20"/>
      <c r="AE405" s="97"/>
      <c r="AF405" s="157">
        <f t="shared" si="217"/>
        <v>0</v>
      </c>
    </row>
    <row r="406" spans="1:32" x14ac:dyDescent="0.2">
      <c r="A406" s="23" t="s">
        <v>140</v>
      </c>
      <c r="B406" s="224" t="s">
        <v>1179</v>
      </c>
      <c r="C406" s="186"/>
      <c r="D406" s="15"/>
      <c r="E406" s="18"/>
      <c r="F406" s="18"/>
      <c r="G406" s="225">
        <f>480746.07/SUM(F407:F439)</f>
        <v>5.3725000000000002E-2</v>
      </c>
      <c r="H406" s="31">
        <f>H405-SUM(H407:H439)</f>
        <v>-3</v>
      </c>
      <c r="I406" s="15"/>
      <c r="J406" s="22"/>
      <c r="K406" s="15"/>
      <c r="L406" s="15"/>
      <c r="M406" s="22"/>
      <c r="N406" s="22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25"/>
      <c r="AF406" s="157">
        <f t="shared" si="217"/>
        <v>0</v>
      </c>
    </row>
    <row r="407" spans="1:32" x14ac:dyDescent="0.2">
      <c r="A407" s="64" t="s">
        <v>141</v>
      </c>
      <c r="B407" s="226" t="s">
        <v>867</v>
      </c>
      <c r="C407" s="16" t="s">
        <v>70</v>
      </c>
      <c r="D407" s="15">
        <v>69.900000000000006</v>
      </c>
      <c r="E407" s="18"/>
      <c r="F407" s="215">
        <v>69633</v>
      </c>
      <c r="G407" s="215">
        <f>F407*$G$406</f>
        <v>3741</v>
      </c>
      <c r="H407" s="19">
        <f>F407+G407</f>
        <v>73374</v>
      </c>
      <c r="I407" s="15"/>
      <c r="J407" s="22"/>
      <c r="K407" s="15"/>
      <c r="L407" s="15"/>
      <c r="M407" s="22"/>
      <c r="N407" s="22"/>
      <c r="O407" s="22">
        <f>H407*13.55</f>
        <v>994218</v>
      </c>
      <c r="P407" s="19">
        <f>O407*4.1%</f>
        <v>40763</v>
      </c>
      <c r="Q407" s="19">
        <f>SUM(O407:P407)</f>
        <v>1034981</v>
      </c>
      <c r="R407" s="6">
        <f>Q407*1.05%</f>
        <v>10867</v>
      </c>
      <c r="S407" s="6"/>
      <c r="T407" s="6"/>
      <c r="U407" s="123">
        <f>Q407*$U$7</f>
        <v>93349</v>
      </c>
      <c r="V407" s="123">
        <f>Q407*$V$7</f>
        <v>2115</v>
      </c>
      <c r="W407" s="6"/>
      <c r="X407" s="6"/>
      <c r="Y407" s="6"/>
      <c r="Z407" s="6"/>
      <c r="AA407" s="19">
        <f>SUM(Q407:Z407)</f>
        <v>1141312</v>
      </c>
      <c r="AB407" s="19">
        <f>$AA407*AB$7</f>
        <v>1229901</v>
      </c>
      <c r="AC407" s="15">
        <f>AB407/D407</f>
        <v>17595.150000000001</v>
      </c>
      <c r="AD407" s="15">
        <f>AC407*D407</f>
        <v>1229900.99</v>
      </c>
      <c r="AE407" s="25"/>
      <c r="AF407" s="157">
        <f t="shared" si="217"/>
        <v>-0.01</v>
      </c>
    </row>
    <row r="408" spans="1:32" s="4" customFormat="1" x14ac:dyDescent="0.25">
      <c r="A408" s="64" t="s">
        <v>1195</v>
      </c>
      <c r="B408" s="69" t="s">
        <v>1179</v>
      </c>
      <c r="C408" s="12" t="s">
        <v>70</v>
      </c>
      <c r="D408" s="13">
        <v>1662.8</v>
      </c>
      <c r="E408" s="18"/>
      <c r="F408" s="215">
        <v>5181069</v>
      </c>
      <c r="G408" s="215">
        <f t="shared" ref="G408:G439" si="267">F408*$G$406</f>
        <v>278353</v>
      </c>
      <c r="H408" s="19">
        <f t="shared" ref="H408:H439" si="268">F408+G408</f>
        <v>5459422</v>
      </c>
      <c r="I408" s="15"/>
      <c r="J408" s="22"/>
      <c r="K408" s="15"/>
      <c r="L408" s="15"/>
      <c r="M408" s="22"/>
      <c r="N408" s="22"/>
      <c r="O408" s="22">
        <f t="shared" ref="O408:O439" si="269">H408*13.55</f>
        <v>73975168</v>
      </c>
      <c r="P408" s="19">
        <f t="shared" ref="P408:P439" si="270">O408*4.1%</f>
        <v>3032982</v>
      </c>
      <c r="Q408" s="19">
        <f t="shared" ref="Q408:Q439" si="271">SUM(O408:P408)</f>
        <v>77008150</v>
      </c>
      <c r="R408" s="6">
        <f t="shared" ref="R408:R439" si="272">Q408*1.05%</f>
        <v>808586</v>
      </c>
      <c r="S408" s="6"/>
      <c r="T408" s="6"/>
      <c r="U408" s="123">
        <f>Q408*$U$7</f>
        <v>6945634</v>
      </c>
      <c r="V408" s="123">
        <f>Q408*$V$7</f>
        <v>157343</v>
      </c>
      <c r="W408" s="6"/>
      <c r="X408" s="6"/>
      <c r="Y408" s="6"/>
      <c r="Z408" s="6"/>
      <c r="AA408" s="19">
        <f>SUM(Q408:Z408)</f>
        <v>84919713</v>
      </c>
      <c r="AB408" s="19">
        <f>$AA408*AB$7</f>
        <v>91511181</v>
      </c>
      <c r="AC408" s="15">
        <f>AB408/D408</f>
        <v>55034.39</v>
      </c>
      <c r="AD408" s="15">
        <f>AC408*D408</f>
        <v>91511183.689999998</v>
      </c>
      <c r="AE408" s="25"/>
      <c r="AF408" s="157">
        <f t="shared" ref="AF408:AF439" si="273">AD408-AB408</f>
        <v>2.69</v>
      </c>
    </row>
    <row r="409" spans="1:32" s="4" customFormat="1" x14ac:dyDescent="0.25">
      <c r="A409" s="64" t="s">
        <v>1196</v>
      </c>
      <c r="B409" s="69" t="s">
        <v>1180</v>
      </c>
      <c r="C409" s="12" t="s">
        <v>70</v>
      </c>
      <c r="D409" s="13">
        <v>22.8</v>
      </c>
      <c r="E409" s="18"/>
      <c r="F409" s="215">
        <v>33819</v>
      </c>
      <c r="G409" s="215">
        <f t="shared" si="267"/>
        <v>1817</v>
      </c>
      <c r="H409" s="19">
        <f t="shared" si="268"/>
        <v>35636</v>
      </c>
      <c r="I409" s="15"/>
      <c r="J409" s="22"/>
      <c r="K409" s="15"/>
      <c r="L409" s="15"/>
      <c r="M409" s="22"/>
      <c r="N409" s="22"/>
      <c r="O409" s="22">
        <f t="shared" si="269"/>
        <v>482868</v>
      </c>
      <c r="P409" s="19">
        <f t="shared" si="270"/>
        <v>19798</v>
      </c>
      <c r="Q409" s="19">
        <f t="shared" si="271"/>
        <v>502666</v>
      </c>
      <c r="R409" s="6">
        <f t="shared" si="272"/>
        <v>5278</v>
      </c>
      <c r="S409" s="6"/>
      <c r="T409" s="6"/>
      <c r="U409" s="123">
        <f>Q409*$U$7</f>
        <v>45337</v>
      </c>
      <c r="V409" s="123">
        <f>Q409*$V$7</f>
        <v>1027</v>
      </c>
      <c r="W409" s="6"/>
      <c r="X409" s="6"/>
      <c r="Y409" s="6"/>
      <c r="Z409" s="6"/>
      <c r="AA409" s="19">
        <f>SUM(Q409:Z409)</f>
        <v>554308</v>
      </c>
      <c r="AB409" s="19">
        <f>$AA409*AB$7</f>
        <v>597333</v>
      </c>
      <c r="AC409" s="15">
        <f>AB409/D409</f>
        <v>26198.82</v>
      </c>
      <c r="AD409" s="15">
        <f>AC409*D409</f>
        <v>597333.1</v>
      </c>
      <c r="AE409" s="25"/>
      <c r="AF409" s="157">
        <f t="shared" si="273"/>
        <v>0.1</v>
      </c>
    </row>
    <row r="410" spans="1:32" s="4" customFormat="1" x14ac:dyDescent="0.25">
      <c r="A410" s="64" t="s">
        <v>1197</v>
      </c>
      <c r="B410" s="69" t="s">
        <v>1181</v>
      </c>
      <c r="C410" s="12" t="s">
        <v>72</v>
      </c>
      <c r="D410" s="13">
        <v>1430</v>
      </c>
      <c r="E410" s="18"/>
      <c r="F410" s="215">
        <v>93212</v>
      </c>
      <c r="G410" s="215">
        <f t="shared" si="267"/>
        <v>5008</v>
      </c>
      <c r="H410" s="19">
        <f t="shared" si="268"/>
        <v>98220</v>
      </c>
      <c r="I410" s="15"/>
      <c r="J410" s="22"/>
      <c r="K410" s="15"/>
      <c r="L410" s="15"/>
      <c r="M410" s="22"/>
      <c r="N410" s="22"/>
      <c r="O410" s="22">
        <f t="shared" si="269"/>
        <v>1330881</v>
      </c>
      <c r="P410" s="19">
        <f t="shared" si="270"/>
        <v>54566</v>
      </c>
      <c r="Q410" s="19">
        <f t="shared" si="271"/>
        <v>1385447</v>
      </c>
      <c r="R410" s="6">
        <f t="shared" si="272"/>
        <v>14547</v>
      </c>
      <c r="S410" s="6"/>
      <c r="T410" s="6"/>
      <c r="U410" s="123">
        <f>Q410*$U$7</f>
        <v>124958</v>
      </c>
      <c r="V410" s="123">
        <f>Q410*$V$7</f>
        <v>2831</v>
      </c>
      <c r="W410" s="6"/>
      <c r="X410" s="6"/>
      <c r="Y410" s="6"/>
      <c r="Z410" s="6"/>
      <c r="AA410" s="19">
        <f>SUM(Q410:Z410)</f>
        <v>1527783</v>
      </c>
      <c r="AB410" s="19">
        <f>$AA410*AB$7</f>
        <v>1646370</v>
      </c>
      <c r="AC410" s="15">
        <f>AB410/D410</f>
        <v>1151.31</v>
      </c>
      <c r="AD410" s="15">
        <f>AC410*D410</f>
        <v>1646373.3</v>
      </c>
      <c r="AE410" s="25"/>
      <c r="AF410" s="157">
        <f t="shared" si="273"/>
        <v>3.3</v>
      </c>
    </row>
    <row r="411" spans="1:32" x14ac:dyDescent="0.2">
      <c r="A411" s="23" t="s">
        <v>1198</v>
      </c>
      <c r="B411" s="224" t="s">
        <v>1182</v>
      </c>
      <c r="C411" s="186"/>
      <c r="D411" s="15"/>
      <c r="E411" s="18"/>
      <c r="F411" s="215"/>
      <c r="G411" s="215"/>
      <c r="H411" s="19"/>
      <c r="I411" s="15"/>
      <c r="J411" s="22"/>
      <c r="K411" s="15"/>
      <c r="L411" s="15"/>
      <c r="M411" s="22"/>
      <c r="N411" s="22"/>
      <c r="O411" s="22"/>
      <c r="P411" s="19"/>
      <c r="Q411" s="19"/>
      <c r="R411" s="6"/>
      <c r="S411" s="6"/>
      <c r="T411" s="6"/>
      <c r="U411" s="123"/>
      <c r="V411" s="123"/>
      <c r="W411" s="6"/>
      <c r="X411" s="6"/>
      <c r="Y411" s="6"/>
      <c r="Z411" s="6"/>
      <c r="AA411" s="19"/>
      <c r="AB411" s="19"/>
      <c r="AC411" s="15"/>
      <c r="AD411" s="15"/>
      <c r="AE411" s="25"/>
      <c r="AF411" s="157">
        <f t="shared" si="273"/>
        <v>0</v>
      </c>
    </row>
    <row r="412" spans="1:32" x14ac:dyDescent="0.2">
      <c r="A412" s="64" t="s">
        <v>1199</v>
      </c>
      <c r="B412" s="226" t="s">
        <v>1183</v>
      </c>
      <c r="C412" s="16" t="s">
        <v>72</v>
      </c>
      <c r="D412" s="15">
        <v>1386</v>
      </c>
      <c r="E412" s="18"/>
      <c r="F412" s="215">
        <v>267494</v>
      </c>
      <c r="G412" s="215">
        <f t="shared" si="267"/>
        <v>14371</v>
      </c>
      <c r="H412" s="19">
        <f t="shared" si="268"/>
        <v>281865</v>
      </c>
      <c r="I412" s="15"/>
      <c r="J412" s="22"/>
      <c r="K412" s="15"/>
      <c r="L412" s="15"/>
      <c r="M412" s="22"/>
      <c r="N412" s="22"/>
      <c r="O412" s="22">
        <f t="shared" si="269"/>
        <v>3819271</v>
      </c>
      <c r="P412" s="19">
        <f t="shared" si="270"/>
        <v>156590</v>
      </c>
      <c r="Q412" s="19">
        <f t="shared" si="271"/>
        <v>3975861</v>
      </c>
      <c r="R412" s="6">
        <f t="shared" si="272"/>
        <v>41747</v>
      </c>
      <c r="S412" s="6"/>
      <c r="T412" s="6"/>
      <c r="U412" s="123">
        <f>Q412*$U$7</f>
        <v>358597</v>
      </c>
      <c r="V412" s="123">
        <f>Q412*$V$7</f>
        <v>8123</v>
      </c>
      <c r="W412" s="6"/>
      <c r="X412" s="6"/>
      <c r="Y412" s="6"/>
      <c r="Z412" s="6"/>
      <c r="AA412" s="19">
        <f>SUM(Q412:Z412)</f>
        <v>4384328</v>
      </c>
      <c r="AB412" s="19">
        <f>$AA412*AB$7</f>
        <v>4724640</v>
      </c>
      <c r="AC412" s="15">
        <f>AB412/D412</f>
        <v>3408.83</v>
      </c>
      <c r="AD412" s="15">
        <f>AC412*D412</f>
        <v>4724638.38</v>
      </c>
      <c r="AE412" s="25"/>
      <c r="AF412" s="157">
        <f t="shared" si="273"/>
        <v>-1.62</v>
      </c>
    </row>
    <row r="413" spans="1:32" s="4" customFormat="1" x14ac:dyDescent="0.25">
      <c r="A413" s="64" t="s">
        <v>1200</v>
      </c>
      <c r="B413" s="69" t="s">
        <v>1184</v>
      </c>
      <c r="C413" s="12" t="s">
        <v>360</v>
      </c>
      <c r="D413" s="13">
        <v>34</v>
      </c>
      <c r="E413" s="18"/>
      <c r="F413" s="215">
        <v>5950</v>
      </c>
      <c r="G413" s="215">
        <f t="shared" si="267"/>
        <v>320</v>
      </c>
      <c r="H413" s="19">
        <f t="shared" si="268"/>
        <v>6270</v>
      </c>
      <c r="I413" s="15"/>
      <c r="J413" s="22"/>
      <c r="K413" s="15"/>
      <c r="L413" s="15"/>
      <c r="M413" s="22"/>
      <c r="N413" s="22"/>
      <c r="O413" s="22">
        <f t="shared" si="269"/>
        <v>84959</v>
      </c>
      <c r="P413" s="19">
        <f t="shared" si="270"/>
        <v>3483</v>
      </c>
      <c r="Q413" s="19">
        <f t="shared" si="271"/>
        <v>88442</v>
      </c>
      <c r="R413" s="6">
        <f t="shared" si="272"/>
        <v>929</v>
      </c>
      <c r="S413" s="6"/>
      <c r="T413" s="6"/>
      <c r="U413" s="123">
        <f>Q413*$U$7</f>
        <v>7977</v>
      </c>
      <c r="V413" s="123">
        <f>Q413*$V$7</f>
        <v>181</v>
      </c>
      <c r="W413" s="6"/>
      <c r="X413" s="6"/>
      <c r="Y413" s="6"/>
      <c r="Z413" s="6"/>
      <c r="AA413" s="19">
        <f>SUM(Q413:Z413)</f>
        <v>97529</v>
      </c>
      <c r="AB413" s="19">
        <f>$AA413*AB$7</f>
        <v>105099</v>
      </c>
      <c r="AC413" s="15">
        <f>AB413/D413</f>
        <v>3091.15</v>
      </c>
      <c r="AD413" s="15">
        <f>AC413*D413</f>
        <v>105099.1</v>
      </c>
      <c r="AE413" s="25"/>
      <c r="AF413" s="157">
        <f t="shared" ref="AF413" si="274">AD413-AB413</f>
        <v>0.1</v>
      </c>
    </row>
    <row r="414" spans="1:32" s="4" customFormat="1" x14ac:dyDescent="0.25">
      <c r="A414" s="23" t="s">
        <v>1201</v>
      </c>
      <c r="B414" s="26" t="s">
        <v>1185</v>
      </c>
      <c r="C414" s="21"/>
      <c r="D414" s="212"/>
      <c r="E414" s="213"/>
      <c r="F414" s="216"/>
      <c r="G414" s="215"/>
      <c r="H414" s="19"/>
      <c r="I414" s="32"/>
      <c r="J414" s="22"/>
      <c r="K414" s="15"/>
      <c r="L414" s="15"/>
      <c r="M414" s="31"/>
      <c r="N414" s="31"/>
      <c r="O414" s="22"/>
      <c r="P414" s="19"/>
      <c r="Q414" s="19"/>
      <c r="R414" s="6"/>
      <c r="S414" s="6"/>
      <c r="T414" s="6"/>
      <c r="U414" s="123"/>
      <c r="V414" s="123"/>
      <c r="W414" s="6"/>
      <c r="X414" s="6"/>
      <c r="Y414" s="6"/>
      <c r="Z414" s="6"/>
      <c r="AA414" s="19"/>
      <c r="AB414" s="19"/>
      <c r="AC414" s="15"/>
      <c r="AD414" s="15"/>
      <c r="AE414" s="25"/>
      <c r="AF414" s="157">
        <f t="shared" si="273"/>
        <v>0</v>
      </c>
    </row>
    <row r="415" spans="1:32" s="4" customFormat="1" x14ac:dyDescent="0.25">
      <c r="A415" s="64" t="s">
        <v>1202</v>
      </c>
      <c r="B415" s="69" t="s">
        <v>1186</v>
      </c>
      <c r="C415" s="12" t="s">
        <v>72</v>
      </c>
      <c r="D415" s="13">
        <v>608.6</v>
      </c>
      <c r="E415" s="18"/>
      <c r="F415" s="215">
        <v>12918</v>
      </c>
      <c r="G415" s="215">
        <f t="shared" si="267"/>
        <v>694</v>
      </c>
      <c r="H415" s="19">
        <f t="shared" si="268"/>
        <v>13612</v>
      </c>
      <c r="I415" s="15"/>
      <c r="J415" s="22"/>
      <c r="K415" s="15"/>
      <c r="L415" s="15"/>
      <c r="M415" s="22"/>
      <c r="N415" s="22"/>
      <c r="O415" s="22">
        <f t="shared" si="269"/>
        <v>184443</v>
      </c>
      <c r="P415" s="19">
        <f t="shared" si="270"/>
        <v>7562</v>
      </c>
      <c r="Q415" s="19">
        <f t="shared" si="271"/>
        <v>192005</v>
      </c>
      <c r="R415" s="6">
        <f t="shared" si="272"/>
        <v>2016</v>
      </c>
      <c r="S415" s="6"/>
      <c r="T415" s="6"/>
      <c r="U415" s="123">
        <f t="shared" ref="U415:U425" si="275">Q415*$U$7</f>
        <v>17318</v>
      </c>
      <c r="V415" s="123">
        <f t="shared" ref="V415:V425" si="276">Q415*$V$7</f>
        <v>392</v>
      </c>
      <c r="W415" s="6"/>
      <c r="X415" s="6"/>
      <c r="Y415" s="6"/>
      <c r="Z415" s="6"/>
      <c r="AA415" s="19">
        <f t="shared" ref="AA415:AA425" si="277">SUM(Q415:Z415)</f>
        <v>211731</v>
      </c>
      <c r="AB415" s="19">
        <f t="shared" ref="AB415:AB425" si="278">$AA415*AB$7</f>
        <v>228166</v>
      </c>
      <c r="AC415" s="15">
        <f t="shared" ref="AC415:AC425" si="279">AB415/D415</f>
        <v>374.9</v>
      </c>
      <c r="AD415" s="15">
        <f t="shared" ref="AD415:AD425" si="280">AC415*D415</f>
        <v>228164.14</v>
      </c>
      <c r="AE415" s="25"/>
      <c r="AF415" s="157">
        <f t="shared" si="273"/>
        <v>-1.86</v>
      </c>
    </row>
    <row r="416" spans="1:32" s="4" customFormat="1" ht="25.5" x14ac:dyDescent="0.25">
      <c r="A416" s="64" t="s">
        <v>1203</v>
      </c>
      <c r="B416" s="69" t="s">
        <v>1187</v>
      </c>
      <c r="C416" s="12" t="s">
        <v>70</v>
      </c>
      <c r="D416" s="13">
        <v>5500</v>
      </c>
      <c r="E416" s="18"/>
      <c r="F416" s="215">
        <v>1550099</v>
      </c>
      <c r="G416" s="215">
        <f t="shared" si="267"/>
        <v>83279</v>
      </c>
      <c r="H416" s="19">
        <f t="shared" si="268"/>
        <v>1633378</v>
      </c>
      <c r="I416" s="15"/>
      <c r="J416" s="22"/>
      <c r="K416" s="15"/>
      <c r="L416" s="15"/>
      <c r="M416" s="22"/>
      <c r="N416" s="22"/>
      <c r="O416" s="22">
        <f t="shared" si="269"/>
        <v>22132272</v>
      </c>
      <c r="P416" s="19">
        <f t="shared" si="270"/>
        <v>907423</v>
      </c>
      <c r="Q416" s="19">
        <f t="shared" si="271"/>
        <v>23039695</v>
      </c>
      <c r="R416" s="6">
        <f t="shared" si="272"/>
        <v>241917</v>
      </c>
      <c r="S416" s="6"/>
      <c r="T416" s="6"/>
      <c r="U416" s="123">
        <f t="shared" si="275"/>
        <v>2078030</v>
      </c>
      <c r="V416" s="123">
        <f t="shared" si="276"/>
        <v>47075</v>
      </c>
      <c r="W416" s="6"/>
      <c r="X416" s="6"/>
      <c r="Y416" s="6"/>
      <c r="Z416" s="6"/>
      <c r="AA416" s="19">
        <f t="shared" si="277"/>
        <v>25406717</v>
      </c>
      <c r="AB416" s="19">
        <f t="shared" si="278"/>
        <v>27378786</v>
      </c>
      <c r="AC416" s="15">
        <f t="shared" si="279"/>
        <v>4977.96</v>
      </c>
      <c r="AD416" s="15">
        <f t="shared" si="280"/>
        <v>27378780</v>
      </c>
      <c r="AE416" s="25"/>
      <c r="AF416" s="157">
        <f t="shared" si="273"/>
        <v>-6</v>
      </c>
    </row>
    <row r="417" spans="1:32" s="4" customFormat="1" x14ac:dyDescent="0.25">
      <c r="A417" s="64" t="s">
        <v>1204</v>
      </c>
      <c r="B417" s="69" t="s">
        <v>900</v>
      </c>
      <c r="C417" s="12" t="s">
        <v>70</v>
      </c>
      <c r="D417" s="13">
        <f>5.8+56</f>
        <v>61.8</v>
      </c>
      <c r="E417" s="18"/>
      <c r="F417" s="215">
        <v>14778</v>
      </c>
      <c r="G417" s="215">
        <f t="shared" si="267"/>
        <v>794</v>
      </c>
      <c r="H417" s="19">
        <f t="shared" si="268"/>
        <v>15572</v>
      </c>
      <c r="I417" s="15"/>
      <c r="J417" s="22"/>
      <c r="K417" s="15"/>
      <c r="L417" s="15"/>
      <c r="M417" s="22"/>
      <c r="N417" s="22"/>
      <c r="O417" s="22">
        <f t="shared" si="269"/>
        <v>211001</v>
      </c>
      <c r="P417" s="19">
        <f t="shared" si="270"/>
        <v>8651</v>
      </c>
      <c r="Q417" s="19">
        <f t="shared" si="271"/>
        <v>219652</v>
      </c>
      <c r="R417" s="6">
        <f t="shared" si="272"/>
        <v>2306</v>
      </c>
      <c r="S417" s="6"/>
      <c r="T417" s="6"/>
      <c r="U417" s="123">
        <f t="shared" si="275"/>
        <v>19811</v>
      </c>
      <c r="V417" s="123">
        <f t="shared" si="276"/>
        <v>449</v>
      </c>
      <c r="W417" s="6"/>
      <c r="X417" s="6"/>
      <c r="Y417" s="6"/>
      <c r="Z417" s="6"/>
      <c r="AA417" s="19">
        <f t="shared" si="277"/>
        <v>242218</v>
      </c>
      <c r="AB417" s="19">
        <f t="shared" si="278"/>
        <v>261019</v>
      </c>
      <c r="AC417" s="15">
        <f t="shared" si="279"/>
        <v>4223.6099999999997</v>
      </c>
      <c r="AD417" s="15">
        <f t="shared" si="280"/>
        <v>261019.1</v>
      </c>
      <c r="AE417" s="25"/>
      <c r="AF417" s="157">
        <f t="shared" si="273"/>
        <v>0.1</v>
      </c>
    </row>
    <row r="418" spans="1:32" s="4" customFormat="1" x14ac:dyDescent="0.25">
      <c r="A418" s="64" t="s">
        <v>1205</v>
      </c>
      <c r="B418" s="69" t="s">
        <v>902</v>
      </c>
      <c r="C418" s="12" t="s">
        <v>70</v>
      </c>
      <c r="D418" s="13">
        <v>20.7</v>
      </c>
      <c r="E418" s="18"/>
      <c r="F418" s="215">
        <v>41893</v>
      </c>
      <c r="G418" s="215">
        <f t="shared" si="267"/>
        <v>2251</v>
      </c>
      <c r="H418" s="19">
        <f t="shared" si="268"/>
        <v>44144</v>
      </c>
      <c r="I418" s="15"/>
      <c r="J418" s="22"/>
      <c r="K418" s="15"/>
      <c r="L418" s="15"/>
      <c r="M418" s="22"/>
      <c r="N418" s="22"/>
      <c r="O418" s="22">
        <f t="shared" si="269"/>
        <v>598151</v>
      </c>
      <c r="P418" s="19">
        <f t="shared" si="270"/>
        <v>24524</v>
      </c>
      <c r="Q418" s="19">
        <f t="shared" si="271"/>
        <v>622675</v>
      </c>
      <c r="R418" s="6">
        <f t="shared" si="272"/>
        <v>6538</v>
      </c>
      <c r="S418" s="6"/>
      <c r="T418" s="6"/>
      <c r="U418" s="123">
        <f t="shared" si="275"/>
        <v>56161</v>
      </c>
      <c r="V418" s="123">
        <f t="shared" si="276"/>
        <v>1272</v>
      </c>
      <c r="W418" s="6"/>
      <c r="X418" s="6"/>
      <c r="Y418" s="6"/>
      <c r="Z418" s="6"/>
      <c r="AA418" s="19">
        <f t="shared" si="277"/>
        <v>686646</v>
      </c>
      <c r="AB418" s="19">
        <f t="shared" si="278"/>
        <v>739943</v>
      </c>
      <c r="AC418" s="15">
        <f t="shared" si="279"/>
        <v>35746.04</v>
      </c>
      <c r="AD418" s="15">
        <f t="shared" si="280"/>
        <v>739943.03</v>
      </c>
      <c r="AE418" s="25"/>
      <c r="AF418" s="157">
        <f t="shared" ref="AF418:AF421" si="281">AD418-AB418</f>
        <v>0.03</v>
      </c>
    </row>
    <row r="419" spans="1:32" s="4" customFormat="1" x14ac:dyDescent="0.25">
      <c r="A419" s="64" t="s">
        <v>1206</v>
      </c>
      <c r="B419" s="69" t="s">
        <v>903</v>
      </c>
      <c r="C419" s="12" t="s">
        <v>70</v>
      </c>
      <c r="D419" s="13">
        <v>231</v>
      </c>
      <c r="E419" s="18"/>
      <c r="F419" s="215">
        <v>836333</v>
      </c>
      <c r="G419" s="215">
        <f t="shared" si="267"/>
        <v>44932</v>
      </c>
      <c r="H419" s="19">
        <f t="shared" si="268"/>
        <v>881265</v>
      </c>
      <c r="I419" s="15"/>
      <c r="J419" s="22"/>
      <c r="K419" s="15"/>
      <c r="L419" s="15"/>
      <c r="M419" s="22"/>
      <c r="N419" s="22"/>
      <c r="O419" s="22">
        <f t="shared" si="269"/>
        <v>11941141</v>
      </c>
      <c r="P419" s="19">
        <f t="shared" si="270"/>
        <v>489587</v>
      </c>
      <c r="Q419" s="19">
        <f t="shared" si="271"/>
        <v>12430728</v>
      </c>
      <c r="R419" s="6">
        <f t="shared" si="272"/>
        <v>130523</v>
      </c>
      <c r="S419" s="6"/>
      <c r="T419" s="6"/>
      <c r="U419" s="123">
        <f t="shared" si="275"/>
        <v>1121171</v>
      </c>
      <c r="V419" s="123">
        <f t="shared" si="276"/>
        <v>25398</v>
      </c>
      <c r="W419" s="6"/>
      <c r="X419" s="6"/>
      <c r="Y419" s="6"/>
      <c r="Z419" s="6"/>
      <c r="AA419" s="19">
        <f t="shared" si="277"/>
        <v>13707820</v>
      </c>
      <c r="AB419" s="19">
        <f t="shared" si="278"/>
        <v>14771821</v>
      </c>
      <c r="AC419" s="15">
        <f t="shared" si="279"/>
        <v>63947.28</v>
      </c>
      <c r="AD419" s="15">
        <f t="shared" si="280"/>
        <v>14771821.68</v>
      </c>
      <c r="AE419" s="25"/>
      <c r="AF419" s="157">
        <f t="shared" si="281"/>
        <v>0.68</v>
      </c>
    </row>
    <row r="420" spans="1:32" s="4" customFormat="1" ht="25.5" x14ac:dyDescent="0.25">
      <c r="A420" s="64" t="s">
        <v>1207</v>
      </c>
      <c r="B420" s="69" t="s">
        <v>1188</v>
      </c>
      <c r="C420" s="12" t="s">
        <v>72</v>
      </c>
      <c r="D420" s="13">
        <v>110</v>
      </c>
      <c r="E420" s="18"/>
      <c r="F420" s="215">
        <v>3117</v>
      </c>
      <c r="G420" s="215">
        <f t="shared" si="267"/>
        <v>167</v>
      </c>
      <c r="H420" s="19">
        <f t="shared" si="268"/>
        <v>3284</v>
      </c>
      <c r="I420" s="15"/>
      <c r="J420" s="22"/>
      <c r="K420" s="15"/>
      <c r="L420" s="15"/>
      <c r="M420" s="22"/>
      <c r="N420" s="22"/>
      <c r="O420" s="22">
        <f t="shared" si="269"/>
        <v>44498</v>
      </c>
      <c r="P420" s="19">
        <f t="shared" si="270"/>
        <v>1824</v>
      </c>
      <c r="Q420" s="19">
        <f t="shared" si="271"/>
        <v>46322</v>
      </c>
      <c r="R420" s="6">
        <f t="shared" si="272"/>
        <v>486</v>
      </c>
      <c r="S420" s="6"/>
      <c r="T420" s="6"/>
      <c r="U420" s="123">
        <f t="shared" si="275"/>
        <v>4178</v>
      </c>
      <c r="V420" s="123">
        <f t="shared" si="276"/>
        <v>95</v>
      </c>
      <c r="W420" s="6"/>
      <c r="X420" s="6"/>
      <c r="Y420" s="6"/>
      <c r="Z420" s="6"/>
      <c r="AA420" s="19">
        <f t="shared" si="277"/>
        <v>51081</v>
      </c>
      <c r="AB420" s="19">
        <f t="shared" si="278"/>
        <v>55046</v>
      </c>
      <c r="AC420" s="15">
        <f t="shared" si="279"/>
        <v>500.42</v>
      </c>
      <c r="AD420" s="15">
        <f t="shared" si="280"/>
        <v>55046.2</v>
      </c>
      <c r="AE420" s="25"/>
      <c r="AF420" s="157">
        <f t="shared" si="281"/>
        <v>0.2</v>
      </c>
    </row>
    <row r="421" spans="1:32" s="4" customFormat="1" x14ac:dyDescent="0.25">
      <c r="A421" s="64" t="s">
        <v>1216</v>
      </c>
      <c r="B421" s="69" t="s">
        <v>904</v>
      </c>
      <c r="C421" s="12" t="s">
        <v>72</v>
      </c>
      <c r="D421" s="13">
        <v>584</v>
      </c>
      <c r="E421" s="18"/>
      <c r="F421" s="215">
        <v>112710</v>
      </c>
      <c r="G421" s="215">
        <f t="shared" si="267"/>
        <v>6055</v>
      </c>
      <c r="H421" s="19">
        <f t="shared" si="268"/>
        <v>118765</v>
      </c>
      <c r="I421" s="15"/>
      <c r="J421" s="22"/>
      <c r="K421" s="15"/>
      <c r="L421" s="15"/>
      <c r="M421" s="22"/>
      <c r="N421" s="22"/>
      <c r="O421" s="22">
        <f t="shared" si="269"/>
        <v>1609266</v>
      </c>
      <c r="P421" s="19">
        <f t="shared" si="270"/>
        <v>65980</v>
      </c>
      <c r="Q421" s="19">
        <f t="shared" si="271"/>
        <v>1675246</v>
      </c>
      <c r="R421" s="6">
        <f t="shared" si="272"/>
        <v>17590</v>
      </c>
      <c r="S421" s="6"/>
      <c r="T421" s="6"/>
      <c r="U421" s="123">
        <f t="shared" si="275"/>
        <v>151096</v>
      </c>
      <c r="V421" s="123">
        <f t="shared" si="276"/>
        <v>3423</v>
      </c>
      <c r="W421" s="6"/>
      <c r="X421" s="6"/>
      <c r="Y421" s="6"/>
      <c r="Z421" s="6"/>
      <c r="AA421" s="19">
        <f t="shared" si="277"/>
        <v>1847355</v>
      </c>
      <c r="AB421" s="19">
        <f t="shared" si="278"/>
        <v>1990747</v>
      </c>
      <c r="AC421" s="15">
        <f t="shared" si="279"/>
        <v>3408.81</v>
      </c>
      <c r="AD421" s="15">
        <f t="shared" si="280"/>
        <v>1990745.04</v>
      </c>
      <c r="AE421" s="25"/>
      <c r="AF421" s="157">
        <f t="shared" si="281"/>
        <v>-1.96</v>
      </c>
    </row>
    <row r="422" spans="1:32" s="4" customFormat="1" x14ac:dyDescent="0.25">
      <c r="A422" s="64" t="s">
        <v>1217</v>
      </c>
      <c r="B422" s="69" t="s">
        <v>1040</v>
      </c>
      <c r="C422" s="12" t="s">
        <v>72</v>
      </c>
      <c r="D422" s="13">
        <v>266</v>
      </c>
      <c r="E422" s="18"/>
      <c r="F422" s="215">
        <v>33467</v>
      </c>
      <c r="G422" s="215">
        <f t="shared" si="267"/>
        <v>1798</v>
      </c>
      <c r="H422" s="19">
        <f t="shared" si="268"/>
        <v>35265</v>
      </c>
      <c r="I422" s="15"/>
      <c r="J422" s="22"/>
      <c r="K422" s="15"/>
      <c r="L422" s="15"/>
      <c r="M422" s="22"/>
      <c r="N422" s="22"/>
      <c r="O422" s="22">
        <f t="shared" si="269"/>
        <v>477841</v>
      </c>
      <c r="P422" s="19">
        <f t="shared" si="270"/>
        <v>19591</v>
      </c>
      <c r="Q422" s="19">
        <f t="shared" si="271"/>
        <v>497432</v>
      </c>
      <c r="R422" s="6">
        <f t="shared" si="272"/>
        <v>5223</v>
      </c>
      <c r="S422" s="6"/>
      <c r="T422" s="6"/>
      <c r="U422" s="123">
        <f t="shared" si="275"/>
        <v>44865</v>
      </c>
      <c r="V422" s="123">
        <f t="shared" si="276"/>
        <v>1016</v>
      </c>
      <c r="W422" s="6"/>
      <c r="X422" s="6"/>
      <c r="Y422" s="6"/>
      <c r="Z422" s="6"/>
      <c r="AA422" s="19">
        <f t="shared" si="277"/>
        <v>548536</v>
      </c>
      <c r="AB422" s="19">
        <f t="shared" si="278"/>
        <v>591113</v>
      </c>
      <c r="AC422" s="15">
        <f t="shared" si="279"/>
        <v>2222.23</v>
      </c>
      <c r="AD422" s="15">
        <f t="shared" si="280"/>
        <v>591113.18000000005</v>
      </c>
      <c r="AE422" s="25"/>
      <c r="AF422" s="157">
        <f t="shared" si="273"/>
        <v>0.18</v>
      </c>
    </row>
    <row r="423" spans="1:32" s="4" customFormat="1" x14ac:dyDescent="0.25">
      <c r="A423" s="64" t="s">
        <v>1218</v>
      </c>
      <c r="B423" s="69" t="s">
        <v>906</v>
      </c>
      <c r="C423" s="12" t="s">
        <v>72</v>
      </c>
      <c r="D423" s="13">
        <v>426</v>
      </c>
      <c r="E423" s="18"/>
      <c r="F423" s="215">
        <v>78996</v>
      </c>
      <c r="G423" s="215">
        <f t="shared" si="267"/>
        <v>4244</v>
      </c>
      <c r="H423" s="19">
        <f t="shared" si="268"/>
        <v>83240</v>
      </c>
      <c r="I423" s="15"/>
      <c r="J423" s="22"/>
      <c r="K423" s="15"/>
      <c r="L423" s="15"/>
      <c r="M423" s="22"/>
      <c r="N423" s="22"/>
      <c r="O423" s="22">
        <f t="shared" si="269"/>
        <v>1127902</v>
      </c>
      <c r="P423" s="19">
        <f t="shared" si="270"/>
        <v>46244</v>
      </c>
      <c r="Q423" s="19">
        <f t="shared" si="271"/>
        <v>1174146</v>
      </c>
      <c r="R423" s="6">
        <f t="shared" si="272"/>
        <v>12329</v>
      </c>
      <c r="S423" s="6"/>
      <c r="T423" s="6"/>
      <c r="U423" s="123">
        <f t="shared" si="275"/>
        <v>105900</v>
      </c>
      <c r="V423" s="123">
        <f t="shared" si="276"/>
        <v>2399</v>
      </c>
      <c r="W423" s="6"/>
      <c r="X423" s="6"/>
      <c r="Y423" s="6"/>
      <c r="Z423" s="6"/>
      <c r="AA423" s="19">
        <f t="shared" si="277"/>
        <v>1294774</v>
      </c>
      <c r="AB423" s="19">
        <f t="shared" si="278"/>
        <v>1395274</v>
      </c>
      <c r="AC423" s="15">
        <f t="shared" si="279"/>
        <v>3275.29</v>
      </c>
      <c r="AD423" s="15">
        <f t="shared" si="280"/>
        <v>1395273.54</v>
      </c>
      <c r="AE423" s="25"/>
      <c r="AF423" s="157">
        <f t="shared" si="273"/>
        <v>-0.46</v>
      </c>
    </row>
    <row r="424" spans="1:32" s="4" customFormat="1" x14ac:dyDescent="0.25">
      <c r="A424" s="64" t="s">
        <v>1219</v>
      </c>
      <c r="B424" s="69" t="s">
        <v>893</v>
      </c>
      <c r="C424" s="12" t="s">
        <v>72</v>
      </c>
      <c r="D424" s="13">
        <v>426</v>
      </c>
      <c r="E424" s="18"/>
      <c r="F424" s="215">
        <v>53484</v>
      </c>
      <c r="G424" s="215">
        <f t="shared" si="267"/>
        <v>2873</v>
      </c>
      <c r="H424" s="19">
        <f t="shared" si="268"/>
        <v>56357</v>
      </c>
      <c r="I424" s="15"/>
      <c r="J424" s="22"/>
      <c r="K424" s="15"/>
      <c r="L424" s="15"/>
      <c r="M424" s="22"/>
      <c r="N424" s="22"/>
      <c r="O424" s="22">
        <f t="shared" si="269"/>
        <v>763637</v>
      </c>
      <c r="P424" s="19">
        <f t="shared" si="270"/>
        <v>31309</v>
      </c>
      <c r="Q424" s="19">
        <f t="shared" si="271"/>
        <v>794946</v>
      </c>
      <c r="R424" s="6">
        <f t="shared" si="272"/>
        <v>8347</v>
      </c>
      <c r="S424" s="6"/>
      <c r="T424" s="6"/>
      <c r="U424" s="123">
        <f t="shared" si="275"/>
        <v>71699</v>
      </c>
      <c r="V424" s="123">
        <f t="shared" si="276"/>
        <v>1624</v>
      </c>
      <c r="W424" s="6"/>
      <c r="X424" s="6"/>
      <c r="Y424" s="6"/>
      <c r="Z424" s="6"/>
      <c r="AA424" s="19">
        <f t="shared" si="277"/>
        <v>876616</v>
      </c>
      <c r="AB424" s="19">
        <f t="shared" si="278"/>
        <v>944659</v>
      </c>
      <c r="AC424" s="15">
        <f t="shared" si="279"/>
        <v>2217.5100000000002</v>
      </c>
      <c r="AD424" s="15">
        <f t="shared" si="280"/>
        <v>944659.26</v>
      </c>
      <c r="AE424" s="25"/>
      <c r="AF424" s="157">
        <f t="shared" si="273"/>
        <v>0.26</v>
      </c>
    </row>
    <row r="425" spans="1:32" s="4" customFormat="1" x14ac:dyDescent="0.25">
      <c r="A425" s="64" t="s">
        <v>1220</v>
      </c>
      <c r="B425" s="69" t="s">
        <v>894</v>
      </c>
      <c r="C425" s="12" t="s">
        <v>72</v>
      </c>
      <c r="D425" s="13">
        <v>426</v>
      </c>
      <c r="E425" s="18"/>
      <c r="F425" s="215">
        <v>40756</v>
      </c>
      <c r="G425" s="215">
        <f t="shared" si="267"/>
        <v>2190</v>
      </c>
      <c r="H425" s="19">
        <f t="shared" si="268"/>
        <v>42946</v>
      </c>
      <c r="I425" s="15"/>
      <c r="J425" s="22"/>
      <c r="K425" s="15"/>
      <c r="L425" s="15"/>
      <c r="M425" s="22"/>
      <c r="N425" s="22"/>
      <c r="O425" s="22">
        <f t="shared" si="269"/>
        <v>581918</v>
      </c>
      <c r="P425" s="19">
        <f t="shared" si="270"/>
        <v>23859</v>
      </c>
      <c r="Q425" s="19">
        <f t="shared" si="271"/>
        <v>605777</v>
      </c>
      <c r="R425" s="6">
        <f t="shared" si="272"/>
        <v>6361</v>
      </c>
      <c r="S425" s="6"/>
      <c r="T425" s="6"/>
      <c r="U425" s="123">
        <f t="shared" si="275"/>
        <v>54637</v>
      </c>
      <c r="V425" s="123">
        <f t="shared" si="276"/>
        <v>1238</v>
      </c>
      <c r="W425" s="6"/>
      <c r="X425" s="6"/>
      <c r="Y425" s="6"/>
      <c r="Z425" s="6"/>
      <c r="AA425" s="19">
        <f t="shared" si="277"/>
        <v>668013</v>
      </c>
      <c r="AB425" s="19">
        <f t="shared" si="278"/>
        <v>719864</v>
      </c>
      <c r="AC425" s="15">
        <f t="shared" si="279"/>
        <v>1689.82</v>
      </c>
      <c r="AD425" s="15">
        <f t="shared" si="280"/>
        <v>719863.32</v>
      </c>
      <c r="AE425" s="25"/>
      <c r="AF425" s="157">
        <f t="shared" si="273"/>
        <v>-0.68</v>
      </c>
    </row>
    <row r="426" spans="1:32" s="4" customFormat="1" x14ac:dyDescent="0.25">
      <c r="A426" s="23" t="s">
        <v>1208</v>
      </c>
      <c r="B426" s="26" t="s">
        <v>885</v>
      </c>
      <c r="C426" s="21"/>
      <c r="D426" s="212"/>
      <c r="E426" s="213"/>
      <c r="F426" s="216"/>
      <c r="G426" s="215"/>
      <c r="H426" s="19"/>
      <c r="I426" s="32"/>
      <c r="J426" s="22"/>
      <c r="K426" s="15"/>
      <c r="L426" s="15"/>
      <c r="M426" s="31"/>
      <c r="N426" s="31"/>
      <c r="O426" s="22"/>
      <c r="P426" s="19"/>
      <c r="Q426" s="19"/>
      <c r="R426" s="6"/>
      <c r="S426" s="6"/>
      <c r="T426" s="6"/>
      <c r="U426" s="123"/>
      <c r="V426" s="123"/>
      <c r="W426" s="6"/>
      <c r="X426" s="6"/>
      <c r="Y426" s="6"/>
      <c r="Z426" s="6"/>
      <c r="AA426" s="19"/>
      <c r="AB426" s="19"/>
      <c r="AC426" s="15"/>
      <c r="AD426" s="15"/>
      <c r="AE426" s="25"/>
      <c r="AF426" s="157">
        <f t="shared" si="273"/>
        <v>0</v>
      </c>
    </row>
    <row r="427" spans="1:32" s="4" customFormat="1" x14ac:dyDescent="0.25">
      <c r="A427" s="64" t="s">
        <v>1209</v>
      </c>
      <c r="B427" s="69" t="s">
        <v>1189</v>
      </c>
      <c r="C427" s="12" t="s">
        <v>72</v>
      </c>
      <c r="D427" s="13">
        <v>225</v>
      </c>
      <c r="E427" s="18"/>
      <c r="F427" s="215">
        <v>29196</v>
      </c>
      <c r="G427" s="215">
        <f t="shared" si="267"/>
        <v>1569</v>
      </c>
      <c r="H427" s="19">
        <f t="shared" si="268"/>
        <v>30765</v>
      </c>
      <c r="I427" s="15"/>
      <c r="J427" s="22"/>
      <c r="K427" s="15"/>
      <c r="L427" s="15"/>
      <c r="M427" s="22"/>
      <c r="N427" s="22"/>
      <c r="O427" s="22">
        <f t="shared" si="269"/>
        <v>416866</v>
      </c>
      <c r="P427" s="19">
        <f t="shared" si="270"/>
        <v>17092</v>
      </c>
      <c r="Q427" s="19">
        <f t="shared" si="271"/>
        <v>433958</v>
      </c>
      <c r="R427" s="6">
        <f t="shared" si="272"/>
        <v>4557</v>
      </c>
      <c r="S427" s="6"/>
      <c r="T427" s="6"/>
      <c r="U427" s="123">
        <f>Q427*$U$7</f>
        <v>39140</v>
      </c>
      <c r="V427" s="123">
        <f>Q427*$V$7</f>
        <v>887</v>
      </c>
      <c r="W427" s="6"/>
      <c r="X427" s="6"/>
      <c r="Y427" s="6"/>
      <c r="Z427" s="6"/>
      <c r="AA427" s="19">
        <f>SUM(Q427:Z427)</f>
        <v>478542</v>
      </c>
      <c r="AB427" s="19">
        <f>$AA427*AB$7</f>
        <v>515686</v>
      </c>
      <c r="AC427" s="15">
        <f>AB427/D427</f>
        <v>2291.94</v>
      </c>
      <c r="AD427" s="15">
        <f>AC427*D427</f>
        <v>515686.5</v>
      </c>
      <c r="AE427" s="25"/>
      <c r="AF427" s="157">
        <f t="shared" si="273"/>
        <v>0.5</v>
      </c>
    </row>
    <row r="428" spans="1:32" s="4" customFormat="1" x14ac:dyDescent="0.25">
      <c r="A428" s="64" t="s">
        <v>1210</v>
      </c>
      <c r="B428" s="69" t="s">
        <v>889</v>
      </c>
      <c r="C428" s="12" t="s">
        <v>890</v>
      </c>
      <c r="D428" s="13">
        <f>40+40</f>
        <v>80</v>
      </c>
      <c r="E428" s="18"/>
      <c r="F428" s="215">
        <v>141222</v>
      </c>
      <c r="G428" s="215">
        <f t="shared" si="267"/>
        <v>7587</v>
      </c>
      <c r="H428" s="19">
        <f t="shared" si="268"/>
        <v>148809</v>
      </c>
      <c r="I428" s="15"/>
      <c r="J428" s="22"/>
      <c r="K428" s="15"/>
      <c r="L428" s="15"/>
      <c r="M428" s="22"/>
      <c r="N428" s="22"/>
      <c r="O428" s="22">
        <f t="shared" si="269"/>
        <v>2016362</v>
      </c>
      <c r="P428" s="19">
        <f t="shared" si="270"/>
        <v>82671</v>
      </c>
      <c r="Q428" s="19">
        <f t="shared" si="271"/>
        <v>2099033</v>
      </c>
      <c r="R428" s="6">
        <f t="shared" si="272"/>
        <v>22040</v>
      </c>
      <c r="S428" s="6"/>
      <c r="T428" s="6"/>
      <c r="U428" s="123">
        <f>Q428*$U$7</f>
        <v>189319</v>
      </c>
      <c r="V428" s="123">
        <f>Q428*$V$7</f>
        <v>4289</v>
      </c>
      <c r="W428" s="6"/>
      <c r="X428" s="6"/>
      <c r="Y428" s="6"/>
      <c r="Z428" s="6"/>
      <c r="AA428" s="19">
        <f>SUM(Q428:Z428)</f>
        <v>2314681</v>
      </c>
      <c r="AB428" s="19">
        <f>$AA428*AB$7</f>
        <v>2494347</v>
      </c>
      <c r="AC428" s="15">
        <f>AB428/D428</f>
        <v>31179.34</v>
      </c>
      <c r="AD428" s="15">
        <f>AC428*D428</f>
        <v>2494347.2000000002</v>
      </c>
      <c r="AE428" s="25"/>
      <c r="AF428" s="157">
        <f t="shared" si="273"/>
        <v>0.2</v>
      </c>
    </row>
    <row r="429" spans="1:32" s="4" customFormat="1" x14ac:dyDescent="0.25">
      <c r="A429" s="64" t="s">
        <v>1211</v>
      </c>
      <c r="B429" s="69" t="s">
        <v>893</v>
      </c>
      <c r="C429" s="12" t="s">
        <v>72</v>
      </c>
      <c r="D429" s="13">
        <v>214</v>
      </c>
      <c r="E429" s="18"/>
      <c r="F429" s="215">
        <v>20391</v>
      </c>
      <c r="G429" s="215">
        <f t="shared" si="267"/>
        <v>1096</v>
      </c>
      <c r="H429" s="19">
        <f t="shared" si="268"/>
        <v>21487</v>
      </c>
      <c r="I429" s="15"/>
      <c r="J429" s="22"/>
      <c r="K429" s="15"/>
      <c r="L429" s="15"/>
      <c r="M429" s="22"/>
      <c r="N429" s="22"/>
      <c r="O429" s="22">
        <f t="shared" si="269"/>
        <v>291149</v>
      </c>
      <c r="P429" s="19">
        <f t="shared" si="270"/>
        <v>11937</v>
      </c>
      <c r="Q429" s="19">
        <f t="shared" si="271"/>
        <v>303086</v>
      </c>
      <c r="R429" s="6">
        <f t="shared" si="272"/>
        <v>3182</v>
      </c>
      <c r="S429" s="6"/>
      <c r="T429" s="6"/>
      <c r="U429" s="123">
        <f>Q429*$U$7</f>
        <v>27336</v>
      </c>
      <c r="V429" s="123">
        <f>Q429*$V$7</f>
        <v>619</v>
      </c>
      <c r="W429" s="6"/>
      <c r="X429" s="6"/>
      <c r="Y429" s="6"/>
      <c r="Z429" s="6"/>
      <c r="AA429" s="19">
        <f>SUM(Q429:Z429)</f>
        <v>334223</v>
      </c>
      <c r="AB429" s="19">
        <f>$AA429*AB$7</f>
        <v>360165</v>
      </c>
      <c r="AC429" s="15">
        <f>AB429/D429</f>
        <v>1683.01</v>
      </c>
      <c r="AD429" s="15">
        <f>AC429*D429</f>
        <v>360164.14</v>
      </c>
      <c r="AE429" s="25"/>
      <c r="AF429" s="157">
        <f t="shared" si="273"/>
        <v>-0.86</v>
      </c>
    </row>
    <row r="430" spans="1:32" s="4" customFormat="1" x14ac:dyDescent="0.25">
      <c r="A430" s="64" t="s">
        <v>1212</v>
      </c>
      <c r="B430" s="69" t="s">
        <v>894</v>
      </c>
      <c r="C430" s="12" t="s">
        <v>72</v>
      </c>
      <c r="D430" s="13">
        <v>214</v>
      </c>
      <c r="E430" s="18"/>
      <c r="F430" s="215">
        <v>23434</v>
      </c>
      <c r="G430" s="215">
        <f t="shared" si="267"/>
        <v>1259</v>
      </c>
      <c r="H430" s="19">
        <f t="shared" si="268"/>
        <v>24693</v>
      </c>
      <c r="I430" s="15"/>
      <c r="J430" s="22"/>
      <c r="K430" s="15"/>
      <c r="L430" s="15"/>
      <c r="M430" s="22"/>
      <c r="N430" s="22"/>
      <c r="O430" s="22">
        <f t="shared" si="269"/>
        <v>334590</v>
      </c>
      <c r="P430" s="19">
        <f t="shared" si="270"/>
        <v>13718</v>
      </c>
      <c r="Q430" s="19">
        <f t="shared" si="271"/>
        <v>348308</v>
      </c>
      <c r="R430" s="6">
        <f t="shared" si="272"/>
        <v>3657</v>
      </c>
      <c r="S430" s="6"/>
      <c r="T430" s="6"/>
      <c r="U430" s="123">
        <f>Q430*$U$7</f>
        <v>31415</v>
      </c>
      <c r="V430" s="123">
        <f>Q430*$V$7</f>
        <v>712</v>
      </c>
      <c r="W430" s="6"/>
      <c r="X430" s="6"/>
      <c r="Y430" s="6"/>
      <c r="Z430" s="6"/>
      <c r="AA430" s="19">
        <f>SUM(Q430:Z430)</f>
        <v>384092</v>
      </c>
      <c r="AB430" s="19">
        <f>$AA430*AB$7</f>
        <v>413905</v>
      </c>
      <c r="AC430" s="15">
        <f>AB430/D430</f>
        <v>1934.14</v>
      </c>
      <c r="AD430" s="15">
        <f>AC430*D430</f>
        <v>413905.96</v>
      </c>
      <c r="AE430" s="25"/>
      <c r="AF430" s="157">
        <f t="shared" si="273"/>
        <v>0.96</v>
      </c>
    </row>
    <row r="431" spans="1:32" s="4" customFormat="1" x14ac:dyDescent="0.25">
      <c r="A431" s="64" t="s">
        <v>1213</v>
      </c>
      <c r="B431" s="69" t="s">
        <v>1042</v>
      </c>
      <c r="C431" s="12" t="s">
        <v>72</v>
      </c>
      <c r="D431" s="13">
        <v>44</v>
      </c>
      <c r="E431" s="18"/>
      <c r="F431" s="215">
        <v>2816</v>
      </c>
      <c r="G431" s="215">
        <f t="shared" si="267"/>
        <v>151</v>
      </c>
      <c r="H431" s="19">
        <f t="shared" si="268"/>
        <v>2967</v>
      </c>
      <c r="I431" s="15"/>
      <c r="J431" s="22"/>
      <c r="K431" s="15"/>
      <c r="L431" s="15"/>
      <c r="M431" s="22"/>
      <c r="N431" s="22"/>
      <c r="O431" s="22">
        <f t="shared" si="269"/>
        <v>40203</v>
      </c>
      <c r="P431" s="19">
        <f t="shared" si="270"/>
        <v>1648</v>
      </c>
      <c r="Q431" s="19">
        <f t="shared" si="271"/>
        <v>41851</v>
      </c>
      <c r="R431" s="6">
        <f t="shared" si="272"/>
        <v>439</v>
      </c>
      <c r="S431" s="6"/>
      <c r="T431" s="6"/>
      <c r="U431" s="123">
        <f>Q431*$U$7</f>
        <v>3775</v>
      </c>
      <c r="V431" s="123">
        <f>Q431*$V$7</f>
        <v>86</v>
      </c>
      <c r="W431" s="6"/>
      <c r="X431" s="6"/>
      <c r="Y431" s="6"/>
      <c r="Z431" s="6"/>
      <c r="AA431" s="19">
        <f>SUM(Q431:Z431)</f>
        <v>46151</v>
      </c>
      <c r="AB431" s="19">
        <f>$AA431*AB$7</f>
        <v>49733</v>
      </c>
      <c r="AC431" s="15">
        <f>AB431/D431</f>
        <v>1130.3</v>
      </c>
      <c r="AD431" s="15">
        <f>AC431*D431</f>
        <v>49733.2</v>
      </c>
      <c r="AE431" s="25"/>
      <c r="AF431" s="157">
        <f t="shared" si="273"/>
        <v>0.2</v>
      </c>
    </row>
    <row r="432" spans="1:32" s="4" customFormat="1" x14ac:dyDescent="0.25">
      <c r="A432" s="23" t="s">
        <v>1214</v>
      </c>
      <c r="B432" s="26" t="s">
        <v>1190</v>
      </c>
      <c r="C432" s="21"/>
      <c r="D432" s="212"/>
      <c r="E432" s="213"/>
      <c r="F432" s="216"/>
      <c r="G432" s="215"/>
      <c r="H432" s="19"/>
      <c r="I432" s="32"/>
      <c r="J432" s="22"/>
      <c r="K432" s="15"/>
      <c r="L432" s="15"/>
      <c r="M432" s="31"/>
      <c r="N432" s="31"/>
      <c r="O432" s="22"/>
      <c r="P432" s="19"/>
      <c r="Q432" s="19"/>
      <c r="R432" s="6"/>
      <c r="S432" s="6"/>
      <c r="T432" s="6"/>
      <c r="U432" s="123"/>
      <c r="V432" s="123"/>
      <c r="W432" s="6"/>
      <c r="X432" s="6"/>
      <c r="Y432" s="6"/>
      <c r="Z432" s="6"/>
      <c r="AA432" s="19"/>
      <c r="AB432" s="19"/>
      <c r="AC432" s="15"/>
      <c r="AD432" s="15"/>
      <c r="AE432" s="25"/>
      <c r="AF432" s="157">
        <f t="shared" si="273"/>
        <v>0</v>
      </c>
    </row>
    <row r="433" spans="1:32" s="4" customFormat="1" x14ac:dyDescent="0.25">
      <c r="A433" s="64" t="s">
        <v>1215</v>
      </c>
      <c r="B433" s="69" t="s">
        <v>1189</v>
      </c>
      <c r="C433" s="12" t="s">
        <v>72</v>
      </c>
      <c r="D433" s="13">
        <v>400</v>
      </c>
      <c r="E433" s="18"/>
      <c r="F433" s="215">
        <v>77199</v>
      </c>
      <c r="G433" s="215">
        <f t="shared" si="267"/>
        <v>4148</v>
      </c>
      <c r="H433" s="19">
        <f t="shared" si="268"/>
        <v>81347</v>
      </c>
      <c r="I433" s="15"/>
      <c r="J433" s="22"/>
      <c r="K433" s="15"/>
      <c r="L433" s="15"/>
      <c r="M433" s="22"/>
      <c r="N433" s="22"/>
      <c r="O433" s="22">
        <f t="shared" si="269"/>
        <v>1102252</v>
      </c>
      <c r="P433" s="19">
        <f t="shared" si="270"/>
        <v>45192</v>
      </c>
      <c r="Q433" s="19">
        <f t="shared" si="271"/>
        <v>1147444</v>
      </c>
      <c r="R433" s="6">
        <f t="shared" si="272"/>
        <v>12048</v>
      </c>
      <c r="S433" s="6"/>
      <c r="T433" s="6"/>
      <c r="U433" s="123">
        <f>Q433*$U$7</f>
        <v>103492</v>
      </c>
      <c r="V433" s="123">
        <f>Q433*$V$7</f>
        <v>2344</v>
      </c>
      <c r="W433" s="6"/>
      <c r="X433" s="6"/>
      <c r="Y433" s="6"/>
      <c r="Z433" s="6"/>
      <c r="AA433" s="19">
        <f>SUM(Q433:Z433)</f>
        <v>1265328</v>
      </c>
      <c r="AB433" s="19">
        <f>$AA433*AB$7</f>
        <v>1363543</v>
      </c>
      <c r="AC433" s="15">
        <f>AB433/D433</f>
        <v>3408.86</v>
      </c>
      <c r="AD433" s="15">
        <f>AC433*D433</f>
        <v>1363544</v>
      </c>
      <c r="AE433" s="25"/>
      <c r="AF433" s="157">
        <f t="shared" si="273"/>
        <v>1</v>
      </c>
    </row>
    <row r="434" spans="1:32" s="4" customFormat="1" x14ac:dyDescent="0.25">
      <c r="A434" s="64" t="s">
        <v>1221</v>
      </c>
      <c r="B434" s="69" t="s">
        <v>1191</v>
      </c>
      <c r="C434" s="12" t="s">
        <v>70</v>
      </c>
      <c r="D434" s="13">
        <v>9.1999999999999993</v>
      </c>
      <c r="E434" s="18"/>
      <c r="F434" s="215">
        <v>15598</v>
      </c>
      <c r="G434" s="215">
        <f t="shared" si="267"/>
        <v>838</v>
      </c>
      <c r="H434" s="19">
        <f t="shared" si="268"/>
        <v>16436</v>
      </c>
      <c r="I434" s="15"/>
      <c r="J434" s="22"/>
      <c r="K434" s="15"/>
      <c r="L434" s="15"/>
      <c r="M434" s="22"/>
      <c r="N434" s="22"/>
      <c r="O434" s="22">
        <f t="shared" si="269"/>
        <v>222708</v>
      </c>
      <c r="P434" s="19">
        <f t="shared" si="270"/>
        <v>9131</v>
      </c>
      <c r="Q434" s="19">
        <f t="shared" si="271"/>
        <v>231839</v>
      </c>
      <c r="R434" s="6">
        <f t="shared" si="272"/>
        <v>2434</v>
      </c>
      <c r="S434" s="6"/>
      <c r="T434" s="6"/>
      <c r="U434" s="123">
        <f>Q434*$U$7</f>
        <v>20910</v>
      </c>
      <c r="V434" s="123">
        <f>Q434*$V$7</f>
        <v>474</v>
      </c>
      <c r="W434" s="6"/>
      <c r="X434" s="6"/>
      <c r="Y434" s="6"/>
      <c r="Z434" s="6"/>
      <c r="AA434" s="19">
        <f>SUM(Q434:Z434)</f>
        <v>255657</v>
      </c>
      <c r="AB434" s="19">
        <f>$AA434*AB$7</f>
        <v>275501</v>
      </c>
      <c r="AC434" s="15">
        <f>AB434/D434</f>
        <v>29945.759999999998</v>
      </c>
      <c r="AD434" s="15">
        <f>AC434*D434</f>
        <v>275500.99</v>
      </c>
      <c r="AE434" s="25"/>
      <c r="AF434" s="157">
        <f t="shared" si="273"/>
        <v>-0.01</v>
      </c>
    </row>
    <row r="435" spans="1:32" s="4" customFormat="1" x14ac:dyDescent="0.25">
      <c r="A435" s="64" t="s">
        <v>1222</v>
      </c>
      <c r="B435" s="69" t="s">
        <v>1181</v>
      </c>
      <c r="C435" s="12" t="s">
        <v>72</v>
      </c>
      <c r="D435" s="13">
        <v>1430</v>
      </c>
      <c r="E435" s="18"/>
      <c r="F435" s="215">
        <v>71127</v>
      </c>
      <c r="G435" s="215">
        <f t="shared" si="267"/>
        <v>3821</v>
      </c>
      <c r="H435" s="19">
        <f t="shared" si="268"/>
        <v>74948</v>
      </c>
      <c r="I435" s="15"/>
      <c r="J435" s="22"/>
      <c r="K435" s="15"/>
      <c r="L435" s="15"/>
      <c r="M435" s="22"/>
      <c r="N435" s="22"/>
      <c r="O435" s="22">
        <f t="shared" si="269"/>
        <v>1015545</v>
      </c>
      <c r="P435" s="19">
        <f t="shared" si="270"/>
        <v>41637</v>
      </c>
      <c r="Q435" s="19">
        <f t="shared" si="271"/>
        <v>1057182</v>
      </c>
      <c r="R435" s="6">
        <f t="shared" si="272"/>
        <v>11100</v>
      </c>
      <c r="S435" s="6"/>
      <c r="T435" s="6"/>
      <c r="U435" s="123">
        <f>Q435*$U$7</f>
        <v>95351</v>
      </c>
      <c r="V435" s="123">
        <f>Q435*$V$7</f>
        <v>2160</v>
      </c>
      <c r="W435" s="6"/>
      <c r="X435" s="6"/>
      <c r="Y435" s="6"/>
      <c r="Z435" s="6"/>
      <c r="AA435" s="19">
        <f>SUM(Q435:Z435)</f>
        <v>1165793</v>
      </c>
      <c r="AB435" s="19">
        <f>$AA435*AB$7</f>
        <v>1256282</v>
      </c>
      <c r="AC435" s="15">
        <f>AB435/D435</f>
        <v>878.52</v>
      </c>
      <c r="AD435" s="15">
        <f>AC435*D435</f>
        <v>1256283.6000000001</v>
      </c>
      <c r="AE435" s="25"/>
      <c r="AF435" s="157">
        <f t="shared" si="273"/>
        <v>1.6</v>
      </c>
    </row>
    <row r="436" spans="1:32" s="4" customFormat="1" x14ac:dyDescent="0.25">
      <c r="A436" s="64" t="s">
        <v>1223</v>
      </c>
      <c r="B436" s="69" t="s">
        <v>1192</v>
      </c>
      <c r="C436" s="12" t="s">
        <v>72</v>
      </c>
      <c r="D436" s="13">
        <v>628.6</v>
      </c>
      <c r="E436" s="18"/>
      <c r="F436" s="215">
        <v>60443</v>
      </c>
      <c r="G436" s="215">
        <f t="shared" si="267"/>
        <v>3247</v>
      </c>
      <c r="H436" s="19">
        <f t="shared" si="268"/>
        <v>63690</v>
      </c>
      <c r="I436" s="15"/>
      <c r="J436" s="22"/>
      <c r="K436" s="15"/>
      <c r="L436" s="15"/>
      <c r="M436" s="22"/>
      <c r="N436" s="22"/>
      <c r="O436" s="22">
        <f t="shared" si="269"/>
        <v>863000</v>
      </c>
      <c r="P436" s="19">
        <f t="shared" si="270"/>
        <v>35383</v>
      </c>
      <c r="Q436" s="19">
        <f t="shared" si="271"/>
        <v>898383</v>
      </c>
      <c r="R436" s="6">
        <f t="shared" si="272"/>
        <v>9433</v>
      </c>
      <c r="S436" s="6"/>
      <c r="T436" s="6"/>
      <c r="U436" s="123">
        <f>Q436*$U$7</f>
        <v>81028</v>
      </c>
      <c r="V436" s="123">
        <f>Q436*$V$7</f>
        <v>1836</v>
      </c>
      <c r="W436" s="6"/>
      <c r="X436" s="6"/>
      <c r="Y436" s="6"/>
      <c r="Z436" s="6"/>
      <c r="AA436" s="19">
        <f>SUM(Q436:Z436)</f>
        <v>990680</v>
      </c>
      <c r="AB436" s="19">
        <f>$AA436*AB$7</f>
        <v>1067577</v>
      </c>
      <c r="AC436" s="15">
        <f>AB436/D436</f>
        <v>1698.34</v>
      </c>
      <c r="AD436" s="15">
        <f>AC436*D436</f>
        <v>1067576.52</v>
      </c>
      <c r="AE436" s="25"/>
      <c r="AF436" s="157">
        <f t="shared" si="273"/>
        <v>-0.48</v>
      </c>
    </row>
    <row r="437" spans="1:32" s="4" customFormat="1" x14ac:dyDescent="0.25">
      <c r="A437" s="64" t="s">
        <v>1224</v>
      </c>
      <c r="B437" s="69" t="s">
        <v>1193</v>
      </c>
      <c r="C437" s="12" t="s">
        <v>72</v>
      </c>
      <c r="D437" s="13">
        <v>628.6</v>
      </c>
      <c r="E437" s="18"/>
      <c r="F437" s="215">
        <v>56846</v>
      </c>
      <c r="G437" s="215">
        <f t="shared" si="267"/>
        <v>3054</v>
      </c>
      <c r="H437" s="19">
        <f t="shared" si="268"/>
        <v>59900</v>
      </c>
      <c r="I437" s="15"/>
      <c r="J437" s="22"/>
      <c r="K437" s="15"/>
      <c r="L437" s="15"/>
      <c r="M437" s="22"/>
      <c r="N437" s="22"/>
      <c r="O437" s="22">
        <f t="shared" si="269"/>
        <v>811645</v>
      </c>
      <c r="P437" s="19">
        <f t="shared" si="270"/>
        <v>33277</v>
      </c>
      <c r="Q437" s="19">
        <f t="shared" si="271"/>
        <v>844922</v>
      </c>
      <c r="R437" s="6">
        <f t="shared" si="272"/>
        <v>8872</v>
      </c>
      <c r="S437" s="6"/>
      <c r="T437" s="6"/>
      <c r="U437" s="123">
        <f>Q437*$U$7</f>
        <v>76206</v>
      </c>
      <c r="V437" s="123">
        <f>Q437*$V$7</f>
        <v>1726</v>
      </c>
      <c r="W437" s="6"/>
      <c r="X437" s="6"/>
      <c r="Y437" s="6"/>
      <c r="Z437" s="6"/>
      <c r="AA437" s="19">
        <f>SUM(Q437:Z437)</f>
        <v>931726</v>
      </c>
      <c r="AB437" s="19">
        <f>$AA437*AB$7</f>
        <v>1004047</v>
      </c>
      <c r="AC437" s="15">
        <f>AB437/D437</f>
        <v>1597.27</v>
      </c>
      <c r="AD437" s="15">
        <f>AC437*D437</f>
        <v>1004043.92</v>
      </c>
      <c r="AE437" s="25"/>
      <c r="AF437" s="157">
        <f t="shared" si="273"/>
        <v>-3.08</v>
      </c>
    </row>
    <row r="438" spans="1:32" s="4" customFormat="1" x14ac:dyDescent="0.25">
      <c r="A438" s="23" t="s">
        <v>1225</v>
      </c>
      <c r="B438" s="26" t="s">
        <v>1194</v>
      </c>
      <c r="C438" s="21"/>
      <c r="D438" s="212"/>
      <c r="E438" s="213"/>
      <c r="F438" s="216"/>
      <c r="G438" s="215"/>
      <c r="H438" s="19"/>
      <c r="I438" s="32"/>
      <c r="J438" s="22"/>
      <c r="K438" s="15"/>
      <c r="L438" s="15"/>
      <c r="M438" s="31"/>
      <c r="N438" s="31"/>
      <c r="O438" s="22"/>
      <c r="P438" s="19"/>
      <c r="Q438" s="19"/>
      <c r="R438" s="6"/>
      <c r="S438" s="6"/>
      <c r="T438" s="6"/>
      <c r="U438" s="123"/>
      <c r="V438" s="123"/>
      <c r="W438" s="6"/>
      <c r="X438" s="6"/>
      <c r="Y438" s="6"/>
      <c r="Z438" s="6"/>
      <c r="AA438" s="19"/>
      <c r="AB438" s="19"/>
      <c r="AC438" s="15"/>
      <c r="AD438" s="15"/>
      <c r="AE438" s="25"/>
      <c r="AF438" s="157">
        <f t="shared" si="273"/>
        <v>0</v>
      </c>
    </row>
    <row r="439" spans="1:32" s="4" customFormat="1" x14ac:dyDescent="0.25">
      <c r="A439" s="64" t="s">
        <v>1226</v>
      </c>
      <c r="B439" s="69" t="s">
        <v>1194</v>
      </c>
      <c r="C439" s="12" t="s">
        <v>360</v>
      </c>
      <c r="D439" s="13">
        <v>140</v>
      </c>
      <c r="E439" s="18"/>
      <c r="F439" s="215">
        <v>20286</v>
      </c>
      <c r="G439" s="215">
        <f t="shared" si="267"/>
        <v>1090</v>
      </c>
      <c r="H439" s="19">
        <f t="shared" si="268"/>
        <v>21376</v>
      </c>
      <c r="I439" s="15"/>
      <c r="J439" s="22"/>
      <c r="K439" s="15"/>
      <c r="L439" s="15"/>
      <c r="M439" s="22"/>
      <c r="N439" s="22"/>
      <c r="O439" s="22">
        <f t="shared" si="269"/>
        <v>289645</v>
      </c>
      <c r="P439" s="19">
        <f t="shared" si="270"/>
        <v>11875</v>
      </c>
      <c r="Q439" s="19">
        <f t="shared" si="271"/>
        <v>301520</v>
      </c>
      <c r="R439" s="6">
        <f t="shared" si="272"/>
        <v>3166</v>
      </c>
      <c r="S439" s="6"/>
      <c r="T439" s="6"/>
      <c r="U439" s="123">
        <f>Q439*$U$7</f>
        <v>27195</v>
      </c>
      <c r="V439" s="123">
        <f>Q439*$V$7</f>
        <v>616</v>
      </c>
      <c r="W439" s="6"/>
      <c r="X439" s="6"/>
      <c r="Y439" s="6"/>
      <c r="Z439" s="6"/>
      <c r="AA439" s="19">
        <f>SUM(Q439:Z439)</f>
        <v>332497</v>
      </c>
      <c r="AB439" s="19">
        <f>$AA439*AB$7</f>
        <v>358305</v>
      </c>
      <c r="AC439" s="15">
        <f>AB439/D439</f>
        <v>2559.3200000000002</v>
      </c>
      <c r="AD439" s="15">
        <f>AC439*D439</f>
        <v>358304.8</v>
      </c>
      <c r="AE439" s="25"/>
      <c r="AF439" s="157">
        <f t="shared" si="273"/>
        <v>-0.2</v>
      </c>
    </row>
    <row r="440" spans="1:32" s="91" customFormat="1" ht="24.75" customHeight="1" x14ac:dyDescent="0.25">
      <c r="A440" s="100" t="s">
        <v>142</v>
      </c>
      <c r="B440" s="101" t="s">
        <v>244</v>
      </c>
      <c r="C440" s="92"/>
      <c r="D440" s="93"/>
      <c r="E440" s="107"/>
      <c r="F440" s="107"/>
      <c r="G440" s="107"/>
      <c r="H440" s="99">
        <v>17237120</v>
      </c>
      <c r="I440" s="41"/>
      <c r="J440" s="20">
        <f>17237.12*1000</f>
        <v>17237120</v>
      </c>
      <c r="K440" s="20" t="s">
        <v>34</v>
      </c>
      <c r="L440" s="20">
        <f>H440-J440</f>
        <v>0</v>
      </c>
      <c r="M440" s="95">
        <v>186807870</v>
      </c>
      <c r="N440" s="50">
        <f>SUM(O442:O491)-M440</f>
        <v>50</v>
      </c>
      <c r="O440" s="95"/>
      <c r="P440" s="114"/>
      <c r="Q440" s="50"/>
      <c r="R440" s="50"/>
      <c r="S440" s="146"/>
      <c r="T440" s="146"/>
      <c r="U440" s="123"/>
      <c r="V440" s="123"/>
      <c r="W440" s="123"/>
      <c r="X440" s="104"/>
      <c r="Y440" s="168"/>
      <c r="Z440" s="104"/>
      <c r="AA440" s="50"/>
      <c r="AB440" s="50"/>
      <c r="AC440" s="20"/>
      <c r="AD440" s="20"/>
      <c r="AE440" s="97"/>
      <c r="AF440" s="157">
        <f t="shared" si="217"/>
        <v>0</v>
      </c>
    </row>
    <row r="441" spans="1:32" x14ac:dyDescent="0.2">
      <c r="A441" s="23" t="s">
        <v>143</v>
      </c>
      <c r="B441" s="224" t="s">
        <v>121</v>
      </c>
      <c r="C441" s="186"/>
      <c r="D441" s="15"/>
      <c r="E441" s="18"/>
      <c r="F441" s="18"/>
      <c r="G441" s="219">
        <f>824116.17/SUM(F442:F491)</f>
        <v>5.0211199999999998E-2</v>
      </c>
      <c r="H441" s="31">
        <f>H440-SUM(H442:H491)</f>
        <v>-1</v>
      </c>
      <c r="I441" s="15"/>
      <c r="J441" s="22"/>
      <c r="K441" s="15"/>
      <c r="L441" s="15"/>
      <c r="M441" s="22"/>
      <c r="N441" s="22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25"/>
      <c r="AF441" s="157">
        <f t="shared" ref="AF441:AF491" si="282">AD441-AB441</f>
        <v>0</v>
      </c>
    </row>
    <row r="442" spans="1:32" x14ac:dyDescent="0.2">
      <c r="A442" s="64" t="s">
        <v>144</v>
      </c>
      <c r="B442" s="226" t="s">
        <v>867</v>
      </c>
      <c r="C442" s="16" t="s">
        <v>70</v>
      </c>
      <c r="D442" s="15">
        <v>20.6</v>
      </c>
      <c r="E442" s="18"/>
      <c r="F442" s="227">
        <v>16374.7</v>
      </c>
      <c r="G442" s="227">
        <f>F442*$G$441</f>
        <v>822.2</v>
      </c>
      <c r="H442" s="228">
        <f>F442+G442</f>
        <v>17196.900000000001</v>
      </c>
      <c r="I442" s="15"/>
      <c r="J442" s="22"/>
      <c r="K442" s="15"/>
      <c r="L442" s="15"/>
      <c r="M442" s="22"/>
      <c r="N442" s="22"/>
      <c r="O442" s="22">
        <f t="shared" ref="O442" si="283">H442*13.55</f>
        <v>233018</v>
      </c>
      <c r="P442" s="19">
        <f>O442*10.1%</f>
        <v>23535</v>
      </c>
      <c r="Q442" s="19">
        <f>SUM(O442:P442)</f>
        <v>256553</v>
      </c>
      <c r="R442" s="6">
        <f>Q442*1.05%</f>
        <v>2694</v>
      </c>
      <c r="S442" s="6"/>
      <c r="T442" s="6"/>
      <c r="U442" s="123">
        <f>Q442*$U$7</f>
        <v>23139</v>
      </c>
      <c r="V442" s="123">
        <f>Q442*$V$7</f>
        <v>524</v>
      </c>
      <c r="W442" s="123">
        <f>Q442*$W$7</f>
        <v>14674</v>
      </c>
      <c r="X442" s="6"/>
      <c r="Y442" s="168">
        <f>Q442*$Y$7</f>
        <v>4813</v>
      </c>
      <c r="Z442" s="6"/>
      <c r="AA442" s="19">
        <f>SUM(Q442:Z442)</f>
        <v>302397</v>
      </c>
      <c r="AB442" s="19">
        <f>$AA442*AB$7</f>
        <v>325869</v>
      </c>
      <c r="AC442" s="15">
        <f>AB442/D442</f>
        <v>15818.88</v>
      </c>
      <c r="AD442" s="15">
        <f>AC442*D442</f>
        <v>325868.93</v>
      </c>
      <c r="AE442" s="25"/>
      <c r="AF442" s="157">
        <f t="shared" si="282"/>
        <v>-7.0000000000000007E-2</v>
      </c>
    </row>
    <row r="443" spans="1:32" s="4" customFormat="1" x14ac:dyDescent="0.25">
      <c r="A443" s="64" t="s">
        <v>1232</v>
      </c>
      <c r="B443" s="69" t="s">
        <v>870</v>
      </c>
      <c r="C443" s="12" t="s">
        <v>70</v>
      </c>
      <c r="D443" s="13">
        <v>183.2</v>
      </c>
      <c r="E443" s="18"/>
      <c r="F443" s="227">
        <v>567810.4</v>
      </c>
      <c r="G443" s="227">
        <f t="shared" ref="G443:G491" si="284">F443*$G$441</f>
        <v>28510.400000000001</v>
      </c>
      <c r="H443" s="228">
        <f t="shared" ref="H443:H491" si="285">F443+G443</f>
        <v>596320.80000000005</v>
      </c>
      <c r="I443" s="15"/>
      <c r="J443" s="22"/>
      <c r="K443" s="15"/>
      <c r="L443" s="15"/>
      <c r="M443" s="22"/>
      <c r="N443" s="22"/>
      <c r="O443" s="22">
        <f t="shared" ref="O443:O446" si="286">H443*13.55</f>
        <v>8080147</v>
      </c>
      <c r="P443" s="19">
        <f t="shared" ref="P443:P491" si="287">O443*10.1%</f>
        <v>816095</v>
      </c>
      <c r="Q443" s="19">
        <f t="shared" ref="Q443:Q446" si="288">SUM(O443:P443)</f>
        <v>8896242</v>
      </c>
      <c r="R443" s="6">
        <f t="shared" ref="R443:R491" si="289">Q443*1.05%</f>
        <v>93411</v>
      </c>
      <c r="S443" s="6"/>
      <c r="T443" s="6"/>
      <c r="U443" s="123">
        <f>Q443*$U$7</f>
        <v>802383</v>
      </c>
      <c r="V443" s="123">
        <f>Q443*$V$7</f>
        <v>18177</v>
      </c>
      <c r="W443" s="123">
        <f>Q443*$W$7</f>
        <v>508832</v>
      </c>
      <c r="X443" s="6"/>
      <c r="Y443" s="168">
        <f>Q443*$Y$7</f>
        <v>166882</v>
      </c>
      <c r="Z443" s="6"/>
      <c r="AA443" s="19">
        <f>SUM(Q443:Z443)</f>
        <v>10485927</v>
      </c>
      <c r="AB443" s="19">
        <f>$AA443*AB$7</f>
        <v>11299845</v>
      </c>
      <c r="AC443" s="15">
        <f>AB443/D443</f>
        <v>61680.38</v>
      </c>
      <c r="AD443" s="15">
        <f>AC443*D443</f>
        <v>11299845.619999999</v>
      </c>
      <c r="AE443" s="25"/>
      <c r="AF443" s="157">
        <f t="shared" si="282"/>
        <v>0.62</v>
      </c>
    </row>
    <row r="444" spans="1:32" s="4" customFormat="1" ht="38.25" x14ac:dyDescent="0.25">
      <c r="A444" s="64" t="s">
        <v>1233</v>
      </c>
      <c r="B444" s="69" t="s">
        <v>1034</v>
      </c>
      <c r="C444" s="12" t="s">
        <v>70</v>
      </c>
      <c r="D444" s="13">
        <v>33.700000000000003</v>
      </c>
      <c r="E444" s="18"/>
      <c r="F444" s="227">
        <v>127429.6</v>
      </c>
      <c r="G444" s="227">
        <f t="shared" si="284"/>
        <v>6398.4</v>
      </c>
      <c r="H444" s="228">
        <f t="shared" si="285"/>
        <v>133828</v>
      </c>
      <c r="I444" s="15"/>
      <c r="J444" s="22"/>
      <c r="K444" s="15"/>
      <c r="L444" s="15"/>
      <c r="M444" s="22"/>
      <c r="N444" s="22"/>
      <c r="O444" s="22">
        <f t="shared" si="286"/>
        <v>1813369</v>
      </c>
      <c r="P444" s="19">
        <f t="shared" si="287"/>
        <v>183150</v>
      </c>
      <c r="Q444" s="19">
        <f t="shared" si="288"/>
        <v>1996519</v>
      </c>
      <c r="R444" s="6">
        <f t="shared" si="289"/>
        <v>20963</v>
      </c>
      <c r="S444" s="6"/>
      <c r="T444" s="6"/>
      <c r="U444" s="123">
        <f>Q444*$U$7</f>
        <v>180073</v>
      </c>
      <c r="V444" s="123">
        <f>Q444*$V$7</f>
        <v>4079</v>
      </c>
      <c r="W444" s="123">
        <f>Q444*$W$7</f>
        <v>114194</v>
      </c>
      <c r="X444" s="6"/>
      <c r="Y444" s="168">
        <f>Q444*$Y$7</f>
        <v>37452</v>
      </c>
      <c r="Z444" s="6"/>
      <c r="AA444" s="19">
        <f>SUM(Q444:Z444)</f>
        <v>2353280</v>
      </c>
      <c r="AB444" s="19">
        <f>$AA444*AB$7</f>
        <v>2535942</v>
      </c>
      <c r="AC444" s="15">
        <f>AB444/D444</f>
        <v>75250.5</v>
      </c>
      <c r="AD444" s="15">
        <f>AC444*D444</f>
        <v>2535941.85</v>
      </c>
      <c r="AE444" s="25"/>
      <c r="AF444" s="157">
        <f t="shared" si="282"/>
        <v>-0.15</v>
      </c>
    </row>
    <row r="445" spans="1:32" s="4" customFormat="1" x14ac:dyDescent="0.25">
      <c r="A445" s="64" t="s">
        <v>1234</v>
      </c>
      <c r="B445" s="69" t="s">
        <v>872</v>
      </c>
      <c r="C445" s="12" t="s">
        <v>72</v>
      </c>
      <c r="D445" s="13">
        <v>202.8</v>
      </c>
      <c r="E445" s="18"/>
      <c r="F445" s="227">
        <v>17810.8</v>
      </c>
      <c r="G445" s="227">
        <f t="shared" si="284"/>
        <v>894.3</v>
      </c>
      <c r="H445" s="228">
        <f t="shared" si="285"/>
        <v>18705.099999999999</v>
      </c>
      <c r="I445" s="15"/>
      <c r="J445" s="22"/>
      <c r="K445" s="15"/>
      <c r="L445" s="15"/>
      <c r="M445" s="22"/>
      <c r="N445" s="22"/>
      <c r="O445" s="22">
        <f t="shared" si="286"/>
        <v>253454</v>
      </c>
      <c r="P445" s="19">
        <f t="shared" si="287"/>
        <v>25599</v>
      </c>
      <c r="Q445" s="19">
        <f t="shared" si="288"/>
        <v>279053</v>
      </c>
      <c r="R445" s="6">
        <f t="shared" si="289"/>
        <v>2930</v>
      </c>
      <c r="S445" s="6"/>
      <c r="T445" s="6"/>
      <c r="U445" s="123">
        <f>Q445*$U$7</f>
        <v>25169</v>
      </c>
      <c r="V445" s="123">
        <f>Q445*$V$7</f>
        <v>570</v>
      </c>
      <c r="W445" s="123">
        <f>Q445*$W$7</f>
        <v>15961</v>
      </c>
      <c r="X445" s="6"/>
      <c r="Y445" s="168">
        <f>Q445*$Y$7</f>
        <v>5235</v>
      </c>
      <c r="Z445" s="6"/>
      <c r="AA445" s="19">
        <f>SUM(Q445:Z445)</f>
        <v>328918</v>
      </c>
      <c r="AB445" s="19">
        <f>$AA445*AB$7</f>
        <v>354449</v>
      </c>
      <c r="AC445" s="15">
        <f>AB445/D445</f>
        <v>1747.78</v>
      </c>
      <c r="AD445" s="15">
        <f>AC445*D445</f>
        <v>354449.78</v>
      </c>
      <c r="AE445" s="25"/>
      <c r="AF445" s="157">
        <f t="shared" ref="AF445" si="290">AD445-AB445</f>
        <v>0.78</v>
      </c>
    </row>
    <row r="446" spans="1:32" s="4" customFormat="1" x14ac:dyDescent="0.25">
      <c r="A446" s="64" t="s">
        <v>1235</v>
      </c>
      <c r="B446" s="69" t="s">
        <v>1227</v>
      </c>
      <c r="C446" s="12" t="s">
        <v>72</v>
      </c>
      <c r="D446" s="13">
        <v>245</v>
      </c>
      <c r="E446" s="18"/>
      <c r="F446" s="227">
        <v>19670.5</v>
      </c>
      <c r="G446" s="227">
        <f t="shared" si="284"/>
        <v>987.7</v>
      </c>
      <c r="H446" s="228">
        <f t="shared" si="285"/>
        <v>20658.2</v>
      </c>
      <c r="I446" s="15"/>
      <c r="J446" s="22"/>
      <c r="K446" s="15"/>
      <c r="L446" s="15"/>
      <c r="M446" s="22"/>
      <c r="N446" s="22"/>
      <c r="O446" s="22">
        <f t="shared" si="286"/>
        <v>279919</v>
      </c>
      <c r="P446" s="19">
        <f t="shared" si="287"/>
        <v>28272</v>
      </c>
      <c r="Q446" s="19">
        <f t="shared" si="288"/>
        <v>308191</v>
      </c>
      <c r="R446" s="6">
        <f t="shared" si="289"/>
        <v>3236</v>
      </c>
      <c r="S446" s="6"/>
      <c r="T446" s="6"/>
      <c r="U446" s="123">
        <f>Q446*$U$7</f>
        <v>27797</v>
      </c>
      <c r="V446" s="123">
        <f>Q446*$V$7</f>
        <v>630</v>
      </c>
      <c r="W446" s="123">
        <f>Q446*$W$7</f>
        <v>17627</v>
      </c>
      <c r="X446" s="6"/>
      <c r="Y446" s="168">
        <f>Q446*$Y$7</f>
        <v>5781</v>
      </c>
      <c r="Z446" s="6"/>
      <c r="AA446" s="19">
        <f>SUM(Q446:Z446)</f>
        <v>363262</v>
      </c>
      <c r="AB446" s="19">
        <f>$AA446*AB$7</f>
        <v>391458</v>
      </c>
      <c r="AC446" s="15">
        <f>AB446/D446</f>
        <v>1597.79</v>
      </c>
      <c r="AD446" s="15">
        <f>AC446*D446</f>
        <v>391458.55</v>
      </c>
      <c r="AE446" s="25"/>
      <c r="AF446" s="157">
        <f t="shared" si="282"/>
        <v>0.55000000000000004</v>
      </c>
    </row>
    <row r="447" spans="1:32" x14ac:dyDescent="0.2">
      <c r="A447" s="23" t="s">
        <v>1236</v>
      </c>
      <c r="B447" s="224" t="s">
        <v>874</v>
      </c>
      <c r="C447" s="186"/>
      <c r="D447" s="15"/>
      <c r="E447" s="18"/>
      <c r="F447" s="227"/>
      <c r="G447" s="227"/>
      <c r="H447" s="228"/>
      <c r="I447" s="15"/>
      <c r="J447" s="22"/>
      <c r="K447" s="15"/>
      <c r="L447" s="15"/>
      <c r="M447" s="22"/>
      <c r="N447" s="22"/>
      <c r="O447" s="22"/>
      <c r="P447" s="19"/>
      <c r="Q447" s="19"/>
      <c r="R447" s="6"/>
      <c r="S447" s="6"/>
      <c r="T447" s="6"/>
      <c r="U447" s="123"/>
      <c r="V447" s="123"/>
      <c r="W447" s="123"/>
      <c r="X447" s="6"/>
      <c r="Y447" s="168"/>
      <c r="Z447" s="6"/>
      <c r="AA447" s="19"/>
      <c r="AB447" s="19"/>
      <c r="AC447" s="15"/>
      <c r="AD447" s="15"/>
      <c r="AE447" s="25"/>
      <c r="AF447" s="157">
        <f t="shared" si="282"/>
        <v>0</v>
      </c>
    </row>
    <row r="448" spans="1:32" x14ac:dyDescent="0.2">
      <c r="A448" s="64" t="s">
        <v>1237</v>
      </c>
      <c r="B448" s="162" t="s">
        <v>1296</v>
      </c>
      <c r="C448" s="16" t="s">
        <v>70</v>
      </c>
      <c r="D448" s="20">
        <v>218.4</v>
      </c>
      <c r="E448" s="18"/>
      <c r="F448" s="229">
        <v>6178423</v>
      </c>
      <c r="G448" s="227">
        <f t="shared" si="284"/>
        <v>310226</v>
      </c>
      <c r="H448" s="228">
        <f t="shared" si="285"/>
        <v>6488649</v>
      </c>
      <c r="I448" s="15"/>
      <c r="J448" s="22"/>
      <c r="K448" s="15"/>
      <c r="L448" s="15"/>
      <c r="M448" s="22"/>
      <c r="N448" s="22"/>
      <c r="O448" s="159">
        <f>(H448-5750930)*13.55+5750930*13.55*0.4</f>
        <v>41166133</v>
      </c>
      <c r="P448" s="19">
        <f>O448*10.1%</f>
        <v>4157779</v>
      </c>
      <c r="Q448" s="19">
        <f>SUM(O448:P448)</f>
        <v>45323912</v>
      </c>
      <c r="R448" s="6">
        <f>Q448*1.05%</f>
        <v>475901</v>
      </c>
      <c r="S448" s="161">
        <f>Q448*$S$6</f>
        <v>28649</v>
      </c>
      <c r="T448" s="121">
        <f>Q448*$T$7</f>
        <v>43284</v>
      </c>
      <c r="U448" s="123">
        <f>Q448*$U$7</f>
        <v>4087922</v>
      </c>
      <c r="V448" s="123">
        <f>Q448*$V$7</f>
        <v>92606</v>
      </c>
      <c r="W448" s="123">
        <f>Q448*$W$7</f>
        <v>2592361</v>
      </c>
      <c r="X448" s="6"/>
      <c r="Y448" s="168">
        <f>Q448*$Y$7</f>
        <v>850218</v>
      </c>
      <c r="Z448" s="6"/>
      <c r="AA448" s="19">
        <f>SUM(Q448:Z448)</f>
        <v>53494853</v>
      </c>
      <c r="AB448" s="19">
        <f t="shared" ref="AB448:AB454" si="291">$AA448*AB$7</f>
        <v>57647123</v>
      </c>
      <c r="AC448" s="15">
        <f t="shared" ref="AC448:AC454" si="292">AB448/D448</f>
        <v>263952.03000000003</v>
      </c>
      <c r="AD448" s="15">
        <f t="shared" ref="AD448:AD454" si="293">AC448*D448</f>
        <v>57647123.350000001</v>
      </c>
      <c r="AE448" s="25"/>
      <c r="AF448" s="157">
        <f t="shared" si="282"/>
        <v>0.35</v>
      </c>
    </row>
    <row r="449" spans="1:32" s="4" customFormat="1" x14ac:dyDescent="0.25">
      <c r="A449" s="64" t="s">
        <v>1238</v>
      </c>
      <c r="B449" s="69" t="s">
        <v>867</v>
      </c>
      <c r="C449" s="12" t="s">
        <v>70</v>
      </c>
      <c r="D449" s="13">
        <v>10.8</v>
      </c>
      <c r="E449" s="18"/>
      <c r="F449" s="227">
        <v>8584.7999999999993</v>
      </c>
      <c r="G449" s="227">
        <f t="shared" si="284"/>
        <v>431.1</v>
      </c>
      <c r="H449" s="228">
        <f t="shared" si="285"/>
        <v>9015.9</v>
      </c>
      <c r="I449" s="15"/>
      <c r="J449" s="22"/>
      <c r="K449" s="15"/>
      <c r="L449" s="15"/>
      <c r="M449" s="22"/>
      <c r="N449" s="22"/>
      <c r="O449" s="22">
        <f t="shared" ref="O449" si="294">H449*13.55</f>
        <v>122165</v>
      </c>
      <c r="P449" s="19">
        <f t="shared" si="287"/>
        <v>12339</v>
      </c>
      <c r="Q449" s="19">
        <f t="shared" ref="Q449" si="295">SUM(O449:P449)</f>
        <v>134504</v>
      </c>
      <c r="R449" s="6">
        <f t="shared" si="289"/>
        <v>1412</v>
      </c>
      <c r="S449" s="6"/>
      <c r="T449" s="6"/>
      <c r="U449" s="123">
        <f t="shared" ref="U449" si="296">Q449*$U$7</f>
        <v>12131</v>
      </c>
      <c r="V449" s="123">
        <f t="shared" ref="V449" si="297">Q449*$V$7</f>
        <v>275</v>
      </c>
      <c r="W449" s="123">
        <f t="shared" ref="W449" si="298">Q449*$W$7</f>
        <v>7693</v>
      </c>
      <c r="X449" s="6"/>
      <c r="Y449" s="168">
        <f t="shared" ref="Y449" si="299">Q449*$Y$7</f>
        <v>2523</v>
      </c>
      <c r="Z449" s="6"/>
      <c r="AA449" s="19">
        <f t="shared" ref="AA449" si="300">SUM(Q449:Z449)</f>
        <v>158538</v>
      </c>
      <c r="AB449" s="19">
        <f t="shared" si="291"/>
        <v>170844</v>
      </c>
      <c r="AC449" s="15">
        <f t="shared" si="292"/>
        <v>15818.89</v>
      </c>
      <c r="AD449" s="15">
        <f t="shared" si="293"/>
        <v>170844.01</v>
      </c>
      <c r="AE449" s="25"/>
      <c r="AF449" s="157">
        <f t="shared" si="282"/>
        <v>0.01</v>
      </c>
    </row>
    <row r="450" spans="1:32" x14ac:dyDescent="0.2">
      <c r="A450" s="64" t="s">
        <v>1239</v>
      </c>
      <c r="B450" s="226" t="s">
        <v>868</v>
      </c>
      <c r="C450" s="16" t="s">
        <v>70</v>
      </c>
      <c r="D450" s="15">
        <v>127.8</v>
      </c>
      <c r="E450" s="18"/>
      <c r="F450" s="227">
        <v>346078.3</v>
      </c>
      <c r="G450" s="227">
        <f t="shared" si="284"/>
        <v>17377</v>
      </c>
      <c r="H450" s="228">
        <f t="shared" si="285"/>
        <v>363455.3</v>
      </c>
      <c r="I450" s="15"/>
      <c r="J450" s="22"/>
      <c r="K450" s="15"/>
      <c r="L450" s="15"/>
      <c r="M450" s="22"/>
      <c r="N450" s="22"/>
      <c r="O450" s="22">
        <f t="shared" ref="O450:O491" si="301">H450*13.55</f>
        <v>4924819</v>
      </c>
      <c r="P450" s="19">
        <f t="shared" si="287"/>
        <v>497407</v>
      </c>
      <c r="Q450" s="19">
        <f t="shared" ref="Q450:Q491" si="302">SUM(O450:P450)</f>
        <v>5422226</v>
      </c>
      <c r="R450" s="6">
        <f t="shared" si="289"/>
        <v>56933</v>
      </c>
      <c r="S450" s="6"/>
      <c r="T450" s="6"/>
      <c r="U450" s="123">
        <f>Q450*$U$7</f>
        <v>489049</v>
      </c>
      <c r="V450" s="123">
        <f>Q450*$V$7</f>
        <v>11079</v>
      </c>
      <c r="W450" s="123">
        <f>Q450*$W$7</f>
        <v>310131</v>
      </c>
      <c r="X450" s="6"/>
      <c r="Y450" s="168">
        <f>Q450*$Y$7</f>
        <v>101714</v>
      </c>
      <c r="Z450" s="6"/>
      <c r="AA450" s="19">
        <f>SUM(Q450:Z450)</f>
        <v>6391132</v>
      </c>
      <c r="AB450" s="19">
        <f t="shared" si="291"/>
        <v>6887212</v>
      </c>
      <c r="AC450" s="15">
        <f t="shared" si="292"/>
        <v>53890.55</v>
      </c>
      <c r="AD450" s="15">
        <f t="shared" si="293"/>
        <v>6887212.29</v>
      </c>
      <c r="AE450" s="25"/>
      <c r="AF450" s="157">
        <f t="shared" ref="AF450" si="303">AD450-AB450</f>
        <v>0.28999999999999998</v>
      </c>
    </row>
    <row r="451" spans="1:32" x14ac:dyDescent="0.2">
      <c r="A451" s="64" t="s">
        <v>1240</v>
      </c>
      <c r="B451" s="226" t="s">
        <v>869</v>
      </c>
      <c r="C451" s="16" t="s">
        <v>70</v>
      </c>
      <c r="D451" s="15">
        <v>38.5</v>
      </c>
      <c r="E451" s="18"/>
      <c r="F451" s="227">
        <v>439239.2</v>
      </c>
      <c r="G451" s="227">
        <f t="shared" si="284"/>
        <v>22054.7</v>
      </c>
      <c r="H451" s="228">
        <f t="shared" si="285"/>
        <v>461293.9</v>
      </c>
      <c r="I451" s="15"/>
      <c r="J451" s="22"/>
      <c r="K451" s="15"/>
      <c r="L451" s="15"/>
      <c r="M451" s="22"/>
      <c r="N451" s="22"/>
      <c r="O451" s="22">
        <f t="shared" si="301"/>
        <v>6250532</v>
      </c>
      <c r="P451" s="19">
        <f t="shared" si="287"/>
        <v>631304</v>
      </c>
      <c r="Q451" s="19">
        <f t="shared" si="302"/>
        <v>6881836</v>
      </c>
      <c r="R451" s="6">
        <f t="shared" si="289"/>
        <v>72259</v>
      </c>
      <c r="S451" s="6"/>
      <c r="T451" s="6"/>
      <c r="U451" s="123">
        <f>Q451*$U$7</f>
        <v>620697</v>
      </c>
      <c r="V451" s="123">
        <f>Q451*$V$7</f>
        <v>14061</v>
      </c>
      <c r="W451" s="123">
        <f>Q451*$W$7</f>
        <v>393616</v>
      </c>
      <c r="X451" s="6"/>
      <c r="Y451" s="168">
        <f>Q451*$Y$7</f>
        <v>129094</v>
      </c>
      <c r="Z451" s="6"/>
      <c r="AA451" s="19">
        <f>SUM(Q451:Z451)</f>
        <v>8111563</v>
      </c>
      <c r="AB451" s="19">
        <f t="shared" si="291"/>
        <v>8741183</v>
      </c>
      <c r="AC451" s="15">
        <f t="shared" si="292"/>
        <v>227043.71</v>
      </c>
      <c r="AD451" s="15">
        <f t="shared" si="293"/>
        <v>8741182.8399999999</v>
      </c>
      <c r="AE451" s="25"/>
      <c r="AF451" s="157">
        <f t="shared" ref="AF451:AF452" si="304">AD451-AB451</f>
        <v>-0.16</v>
      </c>
    </row>
    <row r="452" spans="1:32" s="4" customFormat="1" ht="25.5" x14ac:dyDescent="0.25">
      <c r="A452" s="64" t="s">
        <v>1241</v>
      </c>
      <c r="B452" s="69" t="s">
        <v>875</v>
      </c>
      <c r="C452" s="12" t="s">
        <v>70</v>
      </c>
      <c r="D452" s="13">
        <v>135.30000000000001</v>
      </c>
      <c r="E452" s="18"/>
      <c r="F452" s="227">
        <v>1460304.5</v>
      </c>
      <c r="G452" s="227">
        <f t="shared" si="284"/>
        <v>73323.600000000006</v>
      </c>
      <c r="H452" s="228">
        <f t="shared" si="285"/>
        <v>1533628.1</v>
      </c>
      <c r="I452" s="15"/>
      <c r="J452" s="22"/>
      <c r="K452" s="15"/>
      <c r="L452" s="15"/>
      <c r="M452" s="22"/>
      <c r="N452" s="22"/>
      <c r="O452" s="22">
        <f t="shared" si="301"/>
        <v>20780661</v>
      </c>
      <c r="P452" s="19">
        <f t="shared" si="287"/>
        <v>2098847</v>
      </c>
      <c r="Q452" s="19">
        <f t="shared" si="302"/>
        <v>22879508</v>
      </c>
      <c r="R452" s="6">
        <f t="shared" si="289"/>
        <v>240235</v>
      </c>
      <c r="S452" s="6"/>
      <c r="T452" s="6"/>
      <c r="U452" s="123">
        <f>Q452*$U$7</f>
        <v>2063583</v>
      </c>
      <c r="V452" s="123">
        <f>Q452*$V$7</f>
        <v>46747</v>
      </c>
      <c r="W452" s="123">
        <f>Q452*$W$7</f>
        <v>1308624</v>
      </c>
      <c r="X452" s="6"/>
      <c r="Y452" s="168">
        <f>Q452*$Y$7</f>
        <v>429190</v>
      </c>
      <c r="Z452" s="6"/>
      <c r="AA452" s="19">
        <f>SUM(Q452:Z452)</f>
        <v>26967887</v>
      </c>
      <c r="AB452" s="19">
        <f t="shared" si="291"/>
        <v>29061134</v>
      </c>
      <c r="AC452" s="15">
        <f t="shared" si="292"/>
        <v>214790.35</v>
      </c>
      <c r="AD452" s="15">
        <f t="shared" si="293"/>
        <v>29061134.359999999</v>
      </c>
      <c r="AE452" s="25"/>
      <c r="AF452" s="157">
        <f t="shared" si="304"/>
        <v>0.36</v>
      </c>
    </row>
    <row r="453" spans="1:32" x14ac:dyDescent="0.2">
      <c r="A453" s="64" t="s">
        <v>1242</v>
      </c>
      <c r="B453" s="226" t="s">
        <v>1228</v>
      </c>
      <c r="C453" s="16" t="s">
        <v>72</v>
      </c>
      <c r="D453" s="15">
        <v>351.7</v>
      </c>
      <c r="E453" s="18"/>
      <c r="F453" s="227">
        <v>30891.3</v>
      </c>
      <c r="G453" s="227">
        <f t="shared" si="284"/>
        <v>1551.1</v>
      </c>
      <c r="H453" s="228">
        <f t="shared" si="285"/>
        <v>32442.400000000001</v>
      </c>
      <c r="I453" s="15"/>
      <c r="J453" s="22"/>
      <c r="K453" s="15"/>
      <c r="L453" s="15"/>
      <c r="M453" s="22"/>
      <c r="N453" s="22"/>
      <c r="O453" s="22">
        <f t="shared" si="301"/>
        <v>439595</v>
      </c>
      <c r="P453" s="19">
        <f t="shared" si="287"/>
        <v>44399</v>
      </c>
      <c r="Q453" s="19">
        <f t="shared" si="302"/>
        <v>483994</v>
      </c>
      <c r="R453" s="6">
        <f t="shared" si="289"/>
        <v>5082</v>
      </c>
      <c r="S453" s="6"/>
      <c r="T453" s="6"/>
      <c r="U453" s="123">
        <f>Q453*$U$7</f>
        <v>43653</v>
      </c>
      <c r="V453" s="123">
        <f>Q453*$V$7</f>
        <v>989</v>
      </c>
      <c r="W453" s="123">
        <f>Q453*$W$7</f>
        <v>27683</v>
      </c>
      <c r="X453" s="6"/>
      <c r="Y453" s="168">
        <f>Q453*$Y$7</f>
        <v>9079</v>
      </c>
      <c r="Z453" s="6"/>
      <c r="AA453" s="19">
        <f>SUM(Q453:Z453)</f>
        <v>570480</v>
      </c>
      <c r="AB453" s="19">
        <f t="shared" si="291"/>
        <v>614761</v>
      </c>
      <c r="AC453" s="15">
        <f t="shared" si="292"/>
        <v>1747.97</v>
      </c>
      <c r="AD453" s="15">
        <f t="shared" si="293"/>
        <v>614761.05000000005</v>
      </c>
      <c r="AE453" s="25"/>
      <c r="AF453" s="157">
        <f t="shared" si="282"/>
        <v>0.05</v>
      </c>
    </row>
    <row r="454" spans="1:32" s="4" customFormat="1" ht="25.5" x14ac:dyDescent="0.25">
      <c r="A454" s="64" t="s">
        <v>1243</v>
      </c>
      <c r="B454" s="69" t="s">
        <v>876</v>
      </c>
      <c r="C454" s="12" t="s">
        <v>72</v>
      </c>
      <c r="D454" s="13">
        <v>610</v>
      </c>
      <c r="E454" s="18"/>
      <c r="F454" s="227">
        <v>48975.4</v>
      </c>
      <c r="G454" s="227">
        <f t="shared" si="284"/>
        <v>2459.1</v>
      </c>
      <c r="H454" s="228">
        <f t="shared" si="285"/>
        <v>51434.5</v>
      </c>
      <c r="I454" s="15"/>
      <c r="J454" s="22"/>
      <c r="K454" s="15"/>
      <c r="L454" s="15"/>
      <c r="M454" s="22"/>
      <c r="N454" s="22"/>
      <c r="O454" s="22">
        <f t="shared" si="301"/>
        <v>696937</v>
      </c>
      <c r="P454" s="19">
        <f t="shared" si="287"/>
        <v>70391</v>
      </c>
      <c r="Q454" s="19">
        <f t="shared" si="302"/>
        <v>767328</v>
      </c>
      <c r="R454" s="6">
        <f t="shared" si="289"/>
        <v>8057</v>
      </c>
      <c r="S454" s="6"/>
      <c r="T454" s="6"/>
      <c r="U454" s="123">
        <f>Q454*$U$7</f>
        <v>69208</v>
      </c>
      <c r="V454" s="123">
        <f>Q454*$V$7</f>
        <v>1568</v>
      </c>
      <c r="W454" s="123">
        <f>Q454*$W$7</f>
        <v>43888</v>
      </c>
      <c r="X454" s="6"/>
      <c r="Y454" s="168">
        <f>Q454*$Y$7</f>
        <v>14394</v>
      </c>
      <c r="Z454" s="6"/>
      <c r="AA454" s="19">
        <f>SUM(Q454:Z454)</f>
        <v>904443</v>
      </c>
      <c r="AB454" s="19">
        <f t="shared" si="291"/>
        <v>974646</v>
      </c>
      <c r="AC454" s="15">
        <f t="shared" si="292"/>
        <v>1597.78</v>
      </c>
      <c r="AD454" s="15">
        <f t="shared" si="293"/>
        <v>974645.8</v>
      </c>
      <c r="AE454" s="25"/>
      <c r="AF454" s="157">
        <f t="shared" si="282"/>
        <v>-0.2</v>
      </c>
    </row>
    <row r="455" spans="1:32" s="4" customFormat="1" ht="25.5" x14ac:dyDescent="0.25">
      <c r="A455" s="23" t="s">
        <v>1245</v>
      </c>
      <c r="B455" s="26" t="s">
        <v>877</v>
      </c>
      <c r="C455" s="21"/>
      <c r="D455" s="212"/>
      <c r="E455" s="213"/>
      <c r="F455" s="230"/>
      <c r="G455" s="227"/>
      <c r="H455" s="228"/>
      <c r="I455" s="32"/>
      <c r="J455" s="22"/>
      <c r="K455" s="15"/>
      <c r="L455" s="15"/>
      <c r="M455" s="31"/>
      <c r="N455" s="31"/>
      <c r="O455" s="22"/>
      <c r="P455" s="19"/>
      <c r="Q455" s="19"/>
      <c r="R455" s="6"/>
      <c r="S455" s="6"/>
      <c r="T455" s="6"/>
      <c r="U455" s="123"/>
      <c r="V455" s="123"/>
      <c r="W455" s="123"/>
      <c r="X455" s="6"/>
      <c r="Y455" s="168"/>
      <c r="Z455" s="6"/>
      <c r="AA455" s="19"/>
      <c r="AB455" s="19"/>
      <c r="AC455" s="15"/>
      <c r="AD455" s="15"/>
      <c r="AE455" s="25"/>
      <c r="AF455" s="157">
        <f t="shared" si="282"/>
        <v>0</v>
      </c>
    </row>
    <row r="456" spans="1:32" s="4" customFormat="1" x14ac:dyDescent="0.25">
      <c r="A456" s="64" t="s">
        <v>1246</v>
      </c>
      <c r="B456" s="69" t="s">
        <v>878</v>
      </c>
      <c r="C456" s="12" t="s">
        <v>311</v>
      </c>
      <c r="D456" s="13">
        <v>2.4</v>
      </c>
      <c r="E456" s="18"/>
      <c r="F456" s="227">
        <v>14735.8</v>
      </c>
      <c r="G456" s="227">
        <f t="shared" si="284"/>
        <v>739.9</v>
      </c>
      <c r="H456" s="228">
        <f t="shared" si="285"/>
        <v>15475.7</v>
      </c>
      <c r="I456" s="15"/>
      <c r="J456" s="22"/>
      <c r="K456" s="15"/>
      <c r="L456" s="15"/>
      <c r="M456" s="22"/>
      <c r="N456" s="22"/>
      <c r="O456" s="22">
        <f t="shared" si="301"/>
        <v>209696</v>
      </c>
      <c r="P456" s="19">
        <f t="shared" si="287"/>
        <v>21179</v>
      </c>
      <c r="Q456" s="19">
        <f t="shared" si="302"/>
        <v>230875</v>
      </c>
      <c r="R456" s="6">
        <f t="shared" si="289"/>
        <v>2424</v>
      </c>
      <c r="S456" s="6"/>
      <c r="T456" s="6"/>
      <c r="U456" s="123">
        <f t="shared" ref="U456:U462" si="305">Q456*$U$7</f>
        <v>20823</v>
      </c>
      <c r="V456" s="123">
        <f t="shared" ref="V456:V462" si="306">Q456*$V$7</f>
        <v>472</v>
      </c>
      <c r="W456" s="123">
        <f t="shared" ref="W456:W462" si="307">Q456*$W$7</f>
        <v>13205</v>
      </c>
      <c r="X456" s="6"/>
      <c r="Y456" s="168">
        <f t="shared" ref="Y456:Y462" si="308">Q456*$Y$7</f>
        <v>4331</v>
      </c>
      <c r="Z456" s="6"/>
      <c r="AA456" s="19">
        <f t="shared" ref="AA456:AA462" si="309">SUM(Q456:Z456)</f>
        <v>272130</v>
      </c>
      <c r="AB456" s="19">
        <f t="shared" ref="AB456:AB462" si="310">$AA456*AB$7</f>
        <v>293253</v>
      </c>
      <c r="AC456" s="15">
        <f t="shared" ref="AC456:AC462" si="311">AB456/D456</f>
        <v>122188.75</v>
      </c>
      <c r="AD456" s="15">
        <f t="shared" ref="AD456:AD462" si="312">AC456*D456</f>
        <v>293253</v>
      </c>
      <c r="AE456" s="25"/>
      <c r="AF456" s="157">
        <f t="shared" si="282"/>
        <v>0</v>
      </c>
    </row>
    <row r="457" spans="1:32" s="4" customFormat="1" x14ac:dyDescent="0.25">
      <c r="A457" s="64" t="s">
        <v>1247</v>
      </c>
      <c r="B457" s="172" t="s">
        <v>879</v>
      </c>
      <c r="C457" s="12" t="s">
        <v>67</v>
      </c>
      <c r="D457" s="89">
        <v>48</v>
      </c>
      <c r="E457" s="18"/>
      <c r="F457" s="227">
        <v>251740.4</v>
      </c>
      <c r="G457" s="227">
        <f t="shared" si="284"/>
        <v>12640.2</v>
      </c>
      <c r="H457" s="228">
        <f t="shared" si="285"/>
        <v>264380.59999999998</v>
      </c>
      <c r="I457" s="15"/>
      <c r="J457" s="22"/>
      <c r="K457" s="15"/>
      <c r="L457" s="15"/>
      <c r="M457" s="22"/>
      <c r="N457" s="22"/>
      <c r="O457" s="22">
        <f t="shared" si="301"/>
        <v>3582357</v>
      </c>
      <c r="P457" s="19">
        <f t="shared" si="287"/>
        <v>361818</v>
      </c>
      <c r="Q457" s="19">
        <f t="shared" si="302"/>
        <v>3944175</v>
      </c>
      <c r="R457" s="6">
        <f t="shared" si="289"/>
        <v>41414</v>
      </c>
      <c r="S457" s="6"/>
      <c r="T457" s="6"/>
      <c r="U457" s="123">
        <f t="shared" si="305"/>
        <v>355739</v>
      </c>
      <c r="V457" s="123">
        <f t="shared" si="306"/>
        <v>8059</v>
      </c>
      <c r="W457" s="123">
        <f t="shared" si="307"/>
        <v>225592</v>
      </c>
      <c r="X457" s="6"/>
      <c r="Y457" s="168">
        <f t="shared" si="308"/>
        <v>73988</v>
      </c>
      <c r="Z457" s="6"/>
      <c r="AA457" s="19">
        <f t="shared" si="309"/>
        <v>4648967</v>
      </c>
      <c r="AB457" s="19">
        <f t="shared" si="310"/>
        <v>5009820</v>
      </c>
      <c r="AC457" s="15">
        <f t="shared" si="311"/>
        <v>104371.25</v>
      </c>
      <c r="AD457" s="15">
        <f t="shared" si="312"/>
        <v>5009820</v>
      </c>
      <c r="AE457" s="25"/>
      <c r="AF457" s="157">
        <f t="shared" si="282"/>
        <v>0</v>
      </c>
    </row>
    <row r="458" spans="1:32" s="4" customFormat="1" x14ac:dyDescent="0.25">
      <c r="A458" s="64" t="s">
        <v>1248</v>
      </c>
      <c r="B458" s="69" t="s">
        <v>880</v>
      </c>
      <c r="C458" s="12" t="s">
        <v>67</v>
      </c>
      <c r="D458" s="13">
        <v>24</v>
      </c>
      <c r="E458" s="18"/>
      <c r="F458" s="227">
        <v>2577657.2000000002</v>
      </c>
      <c r="G458" s="227">
        <f t="shared" si="284"/>
        <v>129427.3</v>
      </c>
      <c r="H458" s="228">
        <f t="shared" si="285"/>
        <v>2707084.5</v>
      </c>
      <c r="I458" s="15"/>
      <c r="J458" s="22"/>
      <c r="K458" s="15"/>
      <c r="L458" s="15"/>
      <c r="M458" s="22"/>
      <c r="N458" s="22"/>
      <c r="O458" s="22">
        <f t="shared" si="301"/>
        <v>36680995</v>
      </c>
      <c r="P458" s="19">
        <f t="shared" si="287"/>
        <v>3704780</v>
      </c>
      <c r="Q458" s="19">
        <f t="shared" si="302"/>
        <v>40385775</v>
      </c>
      <c r="R458" s="6">
        <f t="shared" si="289"/>
        <v>424051</v>
      </c>
      <c r="S458" s="6"/>
      <c r="T458" s="6"/>
      <c r="U458" s="123">
        <f t="shared" si="305"/>
        <v>3642534</v>
      </c>
      <c r="V458" s="123">
        <f t="shared" si="306"/>
        <v>82516</v>
      </c>
      <c r="W458" s="123">
        <f t="shared" si="307"/>
        <v>2309918</v>
      </c>
      <c r="X458" s="6"/>
      <c r="Y458" s="168">
        <f t="shared" si="308"/>
        <v>757585</v>
      </c>
      <c r="Z458" s="6"/>
      <c r="AA458" s="19">
        <f t="shared" si="309"/>
        <v>47602379</v>
      </c>
      <c r="AB458" s="19">
        <f t="shared" si="310"/>
        <v>51297276</v>
      </c>
      <c r="AC458" s="15">
        <f t="shared" si="311"/>
        <v>2137386.5</v>
      </c>
      <c r="AD458" s="15">
        <f t="shared" si="312"/>
        <v>51297276</v>
      </c>
      <c r="AE458" s="25"/>
      <c r="AF458" s="157">
        <f t="shared" si="282"/>
        <v>0</v>
      </c>
    </row>
    <row r="459" spans="1:32" s="4" customFormat="1" x14ac:dyDescent="0.25">
      <c r="A459" s="64" t="s">
        <v>1249</v>
      </c>
      <c r="B459" s="69" t="s">
        <v>881</v>
      </c>
      <c r="C459" s="12" t="s">
        <v>70</v>
      </c>
      <c r="D459" s="13">
        <v>278</v>
      </c>
      <c r="E459" s="18"/>
      <c r="F459" s="227">
        <v>1840280.7</v>
      </c>
      <c r="G459" s="227">
        <f t="shared" si="284"/>
        <v>92402.7</v>
      </c>
      <c r="H459" s="228">
        <f t="shared" si="285"/>
        <v>1932683.4</v>
      </c>
      <c r="I459" s="15"/>
      <c r="J459" s="22"/>
      <c r="K459" s="15"/>
      <c r="L459" s="15"/>
      <c r="M459" s="22"/>
      <c r="N459" s="22"/>
      <c r="O459" s="22">
        <f t="shared" si="301"/>
        <v>26187860</v>
      </c>
      <c r="P459" s="19">
        <f t="shared" si="287"/>
        <v>2644974</v>
      </c>
      <c r="Q459" s="19">
        <f t="shared" si="302"/>
        <v>28832834</v>
      </c>
      <c r="R459" s="6">
        <f t="shared" si="289"/>
        <v>302745</v>
      </c>
      <c r="S459" s="6"/>
      <c r="T459" s="6"/>
      <c r="U459" s="123">
        <f t="shared" si="305"/>
        <v>2600534</v>
      </c>
      <c r="V459" s="123">
        <f t="shared" si="306"/>
        <v>58911</v>
      </c>
      <c r="W459" s="123">
        <f t="shared" si="307"/>
        <v>1649132</v>
      </c>
      <c r="X459" s="6"/>
      <c r="Y459" s="168">
        <f t="shared" si="308"/>
        <v>540867</v>
      </c>
      <c r="Z459" s="6"/>
      <c r="AA459" s="19">
        <f t="shared" si="309"/>
        <v>33985023</v>
      </c>
      <c r="AB459" s="19">
        <f t="shared" si="310"/>
        <v>36622940</v>
      </c>
      <c r="AC459" s="15">
        <f t="shared" si="311"/>
        <v>131737.19</v>
      </c>
      <c r="AD459" s="15">
        <f t="shared" si="312"/>
        <v>36622938.82</v>
      </c>
      <c r="AE459" s="25"/>
      <c r="AF459" s="157">
        <f t="shared" si="282"/>
        <v>-1.18</v>
      </c>
    </row>
    <row r="460" spans="1:32" s="4" customFormat="1" x14ac:dyDescent="0.25">
      <c r="A460" s="64" t="s">
        <v>1250</v>
      </c>
      <c r="B460" s="69" t="s">
        <v>882</v>
      </c>
      <c r="C460" s="12" t="s">
        <v>70</v>
      </c>
      <c r="D460" s="13">
        <v>8.6</v>
      </c>
      <c r="E460" s="18"/>
      <c r="F460" s="227">
        <v>50857.8</v>
      </c>
      <c r="G460" s="227">
        <f t="shared" si="284"/>
        <v>2553.6</v>
      </c>
      <c r="H460" s="228">
        <f t="shared" si="285"/>
        <v>53411.4</v>
      </c>
      <c r="I460" s="15"/>
      <c r="J460" s="22"/>
      <c r="K460" s="15"/>
      <c r="L460" s="15"/>
      <c r="M460" s="22"/>
      <c r="N460" s="22"/>
      <c r="O460" s="22">
        <f t="shared" si="301"/>
        <v>723724</v>
      </c>
      <c r="P460" s="19">
        <f t="shared" si="287"/>
        <v>73096</v>
      </c>
      <c r="Q460" s="19">
        <f t="shared" si="302"/>
        <v>796820</v>
      </c>
      <c r="R460" s="6">
        <f t="shared" si="289"/>
        <v>8367</v>
      </c>
      <c r="S460" s="6"/>
      <c r="T460" s="6"/>
      <c r="U460" s="123">
        <f t="shared" si="305"/>
        <v>71868</v>
      </c>
      <c r="V460" s="123">
        <f t="shared" si="306"/>
        <v>1628</v>
      </c>
      <c r="W460" s="123">
        <f t="shared" si="307"/>
        <v>45575</v>
      </c>
      <c r="X460" s="6"/>
      <c r="Y460" s="168">
        <f t="shared" si="308"/>
        <v>14947</v>
      </c>
      <c r="Z460" s="6"/>
      <c r="AA460" s="19">
        <f t="shared" si="309"/>
        <v>939205</v>
      </c>
      <c r="AB460" s="19">
        <f t="shared" si="310"/>
        <v>1012106</v>
      </c>
      <c r="AC460" s="15">
        <f t="shared" si="311"/>
        <v>117686.74</v>
      </c>
      <c r="AD460" s="15">
        <f t="shared" si="312"/>
        <v>1012105.96</v>
      </c>
      <c r="AE460" s="25"/>
      <c r="AF460" s="157">
        <f t="shared" si="282"/>
        <v>-0.04</v>
      </c>
    </row>
    <row r="461" spans="1:32" s="4" customFormat="1" x14ac:dyDescent="0.25">
      <c r="A461" s="64" t="s">
        <v>1251</v>
      </c>
      <c r="B461" s="69" t="s">
        <v>883</v>
      </c>
      <c r="C461" s="12" t="s">
        <v>72</v>
      </c>
      <c r="D461" s="13">
        <v>110</v>
      </c>
      <c r="E461" s="18"/>
      <c r="F461" s="227">
        <v>3116.7</v>
      </c>
      <c r="G461" s="227">
        <f t="shared" si="284"/>
        <v>156.5</v>
      </c>
      <c r="H461" s="228">
        <f t="shared" si="285"/>
        <v>3273.2</v>
      </c>
      <c r="I461" s="15"/>
      <c r="J461" s="22"/>
      <c r="K461" s="15"/>
      <c r="L461" s="15"/>
      <c r="M461" s="22"/>
      <c r="N461" s="22"/>
      <c r="O461" s="22">
        <f t="shared" si="301"/>
        <v>44352</v>
      </c>
      <c r="P461" s="19">
        <f t="shared" si="287"/>
        <v>4480</v>
      </c>
      <c r="Q461" s="19">
        <f t="shared" si="302"/>
        <v>48832</v>
      </c>
      <c r="R461" s="6">
        <f t="shared" si="289"/>
        <v>513</v>
      </c>
      <c r="S461" s="6"/>
      <c r="T461" s="6"/>
      <c r="U461" s="123">
        <f t="shared" si="305"/>
        <v>4404</v>
      </c>
      <c r="V461" s="123">
        <f t="shared" si="306"/>
        <v>100</v>
      </c>
      <c r="W461" s="123">
        <f t="shared" si="307"/>
        <v>2793</v>
      </c>
      <c r="X461" s="6"/>
      <c r="Y461" s="168">
        <f t="shared" si="308"/>
        <v>916</v>
      </c>
      <c r="Z461" s="6"/>
      <c r="AA461" s="19">
        <f t="shared" si="309"/>
        <v>57558</v>
      </c>
      <c r="AB461" s="19">
        <f t="shared" si="310"/>
        <v>62026</v>
      </c>
      <c r="AC461" s="15">
        <f t="shared" si="311"/>
        <v>563.87</v>
      </c>
      <c r="AD461" s="15">
        <f t="shared" si="312"/>
        <v>62025.7</v>
      </c>
      <c r="AE461" s="25"/>
      <c r="AF461" s="157">
        <f t="shared" si="282"/>
        <v>-0.3</v>
      </c>
    </row>
    <row r="462" spans="1:32" s="4" customFormat="1" ht="25.5" x14ac:dyDescent="0.25">
      <c r="A462" s="64" t="s">
        <v>1252</v>
      </c>
      <c r="B462" s="69" t="s">
        <v>884</v>
      </c>
      <c r="C462" s="12" t="s">
        <v>72</v>
      </c>
      <c r="D462" s="13">
        <v>3480</v>
      </c>
      <c r="E462" s="18"/>
      <c r="F462" s="227">
        <v>254846.7</v>
      </c>
      <c r="G462" s="227">
        <f t="shared" si="284"/>
        <v>12796.2</v>
      </c>
      <c r="H462" s="228">
        <f t="shared" si="285"/>
        <v>267642.90000000002</v>
      </c>
      <c r="I462" s="15"/>
      <c r="J462" s="22"/>
      <c r="K462" s="15"/>
      <c r="L462" s="15"/>
      <c r="M462" s="22"/>
      <c r="N462" s="22"/>
      <c r="O462" s="22">
        <f t="shared" si="301"/>
        <v>3626561</v>
      </c>
      <c r="P462" s="19">
        <f t="shared" si="287"/>
        <v>366283</v>
      </c>
      <c r="Q462" s="19">
        <f t="shared" si="302"/>
        <v>3992844</v>
      </c>
      <c r="R462" s="6">
        <f t="shared" si="289"/>
        <v>41925</v>
      </c>
      <c r="S462" s="6"/>
      <c r="T462" s="6"/>
      <c r="U462" s="123">
        <f t="shared" si="305"/>
        <v>360129</v>
      </c>
      <c r="V462" s="123">
        <f t="shared" si="306"/>
        <v>8158</v>
      </c>
      <c r="W462" s="123">
        <f t="shared" si="307"/>
        <v>228376</v>
      </c>
      <c r="X462" s="6"/>
      <c r="Y462" s="168">
        <f t="shared" si="308"/>
        <v>74901</v>
      </c>
      <c r="Z462" s="6"/>
      <c r="AA462" s="19">
        <f t="shared" si="309"/>
        <v>4706333</v>
      </c>
      <c r="AB462" s="19">
        <f t="shared" si="310"/>
        <v>5071639</v>
      </c>
      <c r="AC462" s="15">
        <f t="shared" si="311"/>
        <v>1457.37</v>
      </c>
      <c r="AD462" s="15">
        <f t="shared" si="312"/>
        <v>5071647.5999999996</v>
      </c>
      <c r="AE462" s="25"/>
      <c r="AF462" s="157">
        <f t="shared" si="282"/>
        <v>8.6</v>
      </c>
    </row>
    <row r="463" spans="1:32" s="4" customFormat="1" x14ac:dyDescent="0.25">
      <c r="A463" s="23" t="s">
        <v>1244</v>
      </c>
      <c r="B463" s="26" t="s">
        <v>885</v>
      </c>
      <c r="C463" s="21"/>
      <c r="D463" s="212"/>
      <c r="E463" s="213"/>
      <c r="F463" s="230"/>
      <c r="G463" s="227"/>
      <c r="H463" s="228"/>
      <c r="I463" s="32"/>
      <c r="J463" s="22"/>
      <c r="K463" s="15"/>
      <c r="L463" s="15"/>
      <c r="M463" s="31"/>
      <c r="N463" s="31"/>
      <c r="O463" s="22"/>
      <c r="P463" s="19"/>
      <c r="Q463" s="19"/>
      <c r="R463" s="6"/>
      <c r="S463" s="6"/>
      <c r="T463" s="6"/>
      <c r="U463" s="123"/>
      <c r="V463" s="123"/>
      <c r="W463" s="123"/>
      <c r="X463" s="6"/>
      <c r="Y463" s="168"/>
      <c r="Z463" s="6"/>
      <c r="AA463" s="19"/>
      <c r="AB463" s="19"/>
      <c r="AC463" s="15"/>
      <c r="AD463" s="15"/>
      <c r="AE463" s="25"/>
      <c r="AF463" s="157">
        <f t="shared" si="282"/>
        <v>0</v>
      </c>
    </row>
    <row r="464" spans="1:32" s="4" customFormat="1" x14ac:dyDescent="0.25">
      <c r="A464" s="64" t="s">
        <v>1253</v>
      </c>
      <c r="B464" s="69" t="s">
        <v>886</v>
      </c>
      <c r="C464" s="12" t="s">
        <v>72</v>
      </c>
      <c r="D464" s="13">
        <v>1250</v>
      </c>
      <c r="E464" s="18"/>
      <c r="F464" s="227">
        <v>183507.6</v>
      </c>
      <c r="G464" s="227">
        <f t="shared" si="284"/>
        <v>9214.1</v>
      </c>
      <c r="H464" s="228">
        <f t="shared" si="285"/>
        <v>192721.7</v>
      </c>
      <c r="I464" s="15"/>
      <c r="J464" s="22"/>
      <c r="K464" s="15"/>
      <c r="L464" s="15"/>
      <c r="M464" s="22"/>
      <c r="N464" s="22"/>
      <c r="O464" s="22">
        <f t="shared" si="301"/>
        <v>2611379</v>
      </c>
      <c r="P464" s="19">
        <f t="shared" si="287"/>
        <v>263749</v>
      </c>
      <c r="Q464" s="19">
        <f t="shared" si="302"/>
        <v>2875128</v>
      </c>
      <c r="R464" s="6">
        <f t="shared" si="289"/>
        <v>30189</v>
      </c>
      <c r="S464" s="6"/>
      <c r="T464" s="6"/>
      <c r="U464" s="123">
        <f t="shared" ref="U464:U476" si="313">Q464*$U$7</f>
        <v>259318</v>
      </c>
      <c r="V464" s="123">
        <f t="shared" ref="V464:V476" si="314">Q464*$V$7</f>
        <v>5874</v>
      </c>
      <c r="W464" s="123">
        <f t="shared" ref="W464:W476" si="315">Q464*$W$7</f>
        <v>164447</v>
      </c>
      <c r="X464" s="6"/>
      <c r="Y464" s="168">
        <f t="shared" ref="Y464:Y476" si="316">Q464*$Y$7</f>
        <v>53934</v>
      </c>
      <c r="Z464" s="6"/>
      <c r="AA464" s="19">
        <f t="shared" ref="AA464:AA476" si="317">SUM(Q464:Z464)</f>
        <v>3388890</v>
      </c>
      <c r="AB464" s="19">
        <f t="shared" ref="AB464:AB476" si="318">$AA464*AB$7</f>
        <v>3651936</v>
      </c>
      <c r="AC464" s="15">
        <f t="shared" ref="AC464:AC476" si="319">AB464/D464</f>
        <v>2921.55</v>
      </c>
      <c r="AD464" s="15">
        <f t="shared" ref="AD464:AD476" si="320">AC464*D464</f>
        <v>3651937.5</v>
      </c>
      <c r="AE464" s="25"/>
      <c r="AF464" s="157">
        <f t="shared" si="282"/>
        <v>1.5</v>
      </c>
    </row>
    <row r="465" spans="1:32" s="4" customFormat="1" x14ac:dyDescent="0.25">
      <c r="A465" s="64" t="s">
        <v>1254</v>
      </c>
      <c r="B465" s="69" t="s">
        <v>887</v>
      </c>
      <c r="C465" s="12" t="s">
        <v>888</v>
      </c>
      <c r="D465" s="13">
        <v>190.8</v>
      </c>
      <c r="E465" s="18"/>
      <c r="F465" s="227">
        <v>18291.7</v>
      </c>
      <c r="G465" s="227">
        <f t="shared" si="284"/>
        <v>918.4</v>
      </c>
      <c r="H465" s="228">
        <f t="shared" si="285"/>
        <v>19210.099999999999</v>
      </c>
      <c r="I465" s="15"/>
      <c r="J465" s="22"/>
      <c r="K465" s="15"/>
      <c r="L465" s="15"/>
      <c r="M465" s="22"/>
      <c r="N465" s="22"/>
      <c r="O465" s="22">
        <f t="shared" si="301"/>
        <v>260297</v>
      </c>
      <c r="P465" s="19">
        <f t="shared" si="287"/>
        <v>26290</v>
      </c>
      <c r="Q465" s="19">
        <f t="shared" si="302"/>
        <v>286587</v>
      </c>
      <c r="R465" s="6">
        <f t="shared" si="289"/>
        <v>3009</v>
      </c>
      <c r="S465" s="6"/>
      <c r="T465" s="6"/>
      <c r="U465" s="123">
        <f t="shared" si="313"/>
        <v>25848</v>
      </c>
      <c r="V465" s="123">
        <f t="shared" si="314"/>
        <v>586</v>
      </c>
      <c r="W465" s="123">
        <f t="shared" si="315"/>
        <v>16392</v>
      </c>
      <c r="X465" s="6"/>
      <c r="Y465" s="168">
        <f t="shared" si="316"/>
        <v>5376</v>
      </c>
      <c r="Z465" s="6"/>
      <c r="AA465" s="19">
        <f t="shared" si="317"/>
        <v>337798</v>
      </c>
      <c r="AB465" s="19">
        <f t="shared" si="318"/>
        <v>364018</v>
      </c>
      <c r="AC465" s="15">
        <f t="shared" si="319"/>
        <v>1907.85</v>
      </c>
      <c r="AD465" s="15">
        <f t="shared" si="320"/>
        <v>364017.78</v>
      </c>
      <c r="AE465" s="25"/>
      <c r="AF465" s="157">
        <f t="shared" si="282"/>
        <v>-0.22</v>
      </c>
    </row>
    <row r="466" spans="1:32" s="4" customFormat="1" x14ac:dyDescent="0.25">
      <c r="A466" s="64" t="s">
        <v>1255</v>
      </c>
      <c r="B466" s="69" t="s">
        <v>889</v>
      </c>
      <c r="C466" s="12" t="s">
        <v>890</v>
      </c>
      <c r="D466" s="13">
        <v>206.6</v>
      </c>
      <c r="E466" s="18"/>
      <c r="F466" s="227">
        <v>372838.1</v>
      </c>
      <c r="G466" s="227">
        <f t="shared" si="284"/>
        <v>18720.599999999999</v>
      </c>
      <c r="H466" s="228">
        <f t="shared" si="285"/>
        <v>391558.7</v>
      </c>
      <c r="I466" s="15"/>
      <c r="J466" s="22"/>
      <c r="K466" s="15"/>
      <c r="L466" s="15"/>
      <c r="M466" s="22"/>
      <c r="N466" s="22"/>
      <c r="O466" s="22">
        <f t="shared" si="301"/>
        <v>5305620</v>
      </c>
      <c r="P466" s="19">
        <f t="shared" si="287"/>
        <v>535868</v>
      </c>
      <c r="Q466" s="19">
        <f t="shared" si="302"/>
        <v>5841488</v>
      </c>
      <c r="R466" s="6">
        <f t="shared" si="289"/>
        <v>61336</v>
      </c>
      <c r="S466" s="6"/>
      <c r="T466" s="6"/>
      <c r="U466" s="123">
        <f t="shared" si="313"/>
        <v>526864</v>
      </c>
      <c r="V466" s="123">
        <f t="shared" si="314"/>
        <v>11935</v>
      </c>
      <c r="W466" s="123">
        <f t="shared" si="315"/>
        <v>334112</v>
      </c>
      <c r="X466" s="6"/>
      <c r="Y466" s="168">
        <f t="shared" si="316"/>
        <v>109579</v>
      </c>
      <c r="Z466" s="6"/>
      <c r="AA466" s="19">
        <f t="shared" si="317"/>
        <v>6885314</v>
      </c>
      <c r="AB466" s="19">
        <f t="shared" si="318"/>
        <v>7419752</v>
      </c>
      <c r="AC466" s="15">
        <f t="shared" si="319"/>
        <v>35913.61</v>
      </c>
      <c r="AD466" s="15">
        <f t="shared" si="320"/>
        <v>7419751.8300000001</v>
      </c>
      <c r="AE466" s="25"/>
      <c r="AF466" s="157">
        <f t="shared" si="282"/>
        <v>-0.17</v>
      </c>
    </row>
    <row r="467" spans="1:32" s="4" customFormat="1" x14ac:dyDescent="0.25">
      <c r="A467" s="64" t="s">
        <v>1256</v>
      </c>
      <c r="B467" s="69" t="s">
        <v>891</v>
      </c>
      <c r="C467" s="12" t="s">
        <v>311</v>
      </c>
      <c r="D467" s="13">
        <v>3.9</v>
      </c>
      <c r="E467" s="18"/>
      <c r="F467" s="227">
        <v>98933.3</v>
      </c>
      <c r="G467" s="227">
        <f t="shared" si="284"/>
        <v>4967.6000000000004</v>
      </c>
      <c r="H467" s="228">
        <f t="shared" si="285"/>
        <v>103900.9</v>
      </c>
      <c r="I467" s="15"/>
      <c r="J467" s="22"/>
      <c r="K467" s="15"/>
      <c r="L467" s="15"/>
      <c r="M467" s="22"/>
      <c r="N467" s="22"/>
      <c r="O467" s="22">
        <f t="shared" si="301"/>
        <v>1407857</v>
      </c>
      <c r="P467" s="19">
        <f t="shared" si="287"/>
        <v>142194</v>
      </c>
      <c r="Q467" s="19">
        <f t="shared" si="302"/>
        <v>1550051</v>
      </c>
      <c r="R467" s="6">
        <f t="shared" si="289"/>
        <v>16276</v>
      </c>
      <c r="S467" s="6"/>
      <c r="T467" s="6"/>
      <c r="U467" s="123">
        <f t="shared" si="313"/>
        <v>139805</v>
      </c>
      <c r="V467" s="123">
        <f t="shared" si="314"/>
        <v>3167</v>
      </c>
      <c r="W467" s="123">
        <f t="shared" si="315"/>
        <v>88657</v>
      </c>
      <c r="X467" s="6"/>
      <c r="Y467" s="168">
        <f t="shared" si="316"/>
        <v>29077</v>
      </c>
      <c r="Z467" s="6"/>
      <c r="AA467" s="19">
        <f t="shared" si="317"/>
        <v>1827033</v>
      </c>
      <c r="AB467" s="19">
        <f t="shared" si="318"/>
        <v>1968847</v>
      </c>
      <c r="AC467" s="15">
        <f t="shared" si="319"/>
        <v>504832.56</v>
      </c>
      <c r="AD467" s="15">
        <f t="shared" si="320"/>
        <v>1968846.98</v>
      </c>
      <c r="AE467" s="25"/>
      <c r="AF467" s="157">
        <f t="shared" ref="AF467:AF471" si="321">AD467-AB467</f>
        <v>-0.02</v>
      </c>
    </row>
    <row r="468" spans="1:32" s="4" customFormat="1" x14ac:dyDescent="0.25">
      <c r="A468" s="64" t="s">
        <v>1257</v>
      </c>
      <c r="B468" s="69" t="s">
        <v>892</v>
      </c>
      <c r="C468" s="12" t="s">
        <v>890</v>
      </c>
      <c r="D468" s="13">
        <v>36.200000000000003</v>
      </c>
      <c r="E468" s="18"/>
      <c r="F468" s="227">
        <v>195588.3</v>
      </c>
      <c r="G468" s="227">
        <f t="shared" si="284"/>
        <v>9820.7000000000007</v>
      </c>
      <c r="H468" s="228">
        <f t="shared" si="285"/>
        <v>205409</v>
      </c>
      <c r="I468" s="15"/>
      <c r="J468" s="22"/>
      <c r="K468" s="15"/>
      <c r="L468" s="15"/>
      <c r="M468" s="22"/>
      <c r="N468" s="22"/>
      <c r="O468" s="22">
        <f t="shared" si="301"/>
        <v>2783292</v>
      </c>
      <c r="P468" s="19">
        <f t="shared" si="287"/>
        <v>281112</v>
      </c>
      <c r="Q468" s="19">
        <f t="shared" si="302"/>
        <v>3064404</v>
      </c>
      <c r="R468" s="6">
        <f t="shared" si="289"/>
        <v>32176</v>
      </c>
      <c r="S468" s="6"/>
      <c r="T468" s="6"/>
      <c r="U468" s="123">
        <f t="shared" si="313"/>
        <v>276389</v>
      </c>
      <c r="V468" s="123">
        <f t="shared" si="314"/>
        <v>6261</v>
      </c>
      <c r="W468" s="123">
        <f t="shared" si="315"/>
        <v>175273</v>
      </c>
      <c r="X468" s="6"/>
      <c r="Y468" s="168">
        <f t="shared" si="316"/>
        <v>57484</v>
      </c>
      <c r="Z468" s="6"/>
      <c r="AA468" s="19">
        <f t="shared" si="317"/>
        <v>3611987</v>
      </c>
      <c r="AB468" s="19">
        <f t="shared" si="318"/>
        <v>3892349</v>
      </c>
      <c r="AC468" s="15">
        <f t="shared" si="319"/>
        <v>107523.45</v>
      </c>
      <c r="AD468" s="15">
        <f t="shared" si="320"/>
        <v>3892348.89</v>
      </c>
      <c r="AE468" s="25"/>
      <c r="AF468" s="157">
        <f t="shared" si="321"/>
        <v>-0.11</v>
      </c>
    </row>
    <row r="469" spans="1:32" s="4" customFormat="1" x14ac:dyDescent="0.25">
      <c r="A469" s="64" t="s">
        <v>1258</v>
      </c>
      <c r="B469" s="69" t="s">
        <v>893</v>
      </c>
      <c r="C469" s="12" t="s">
        <v>72</v>
      </c>
      <c r="D469" s="13">
        <v>987</v>
      </c>
      <c r="E469" s="18"/>
      <c r="F469" s="227">
        <v>94062.3</v>
      </c>
      <c r="G469" s="227">
        <f t="shared" si="284"/>
        <v>4723</v>
      </c>
      <c r="H469" s="228">
        <f t="shared" si="285"/>
        <v>98785.3</v>
      </c>
      <c r="I469" s="15"/>
      <c r="J469" s="22"/>
      <c r="K469" s="15"/>
      <c r="L469" s="15"/>
      <c r="M469" s="22"/>
      <c r="N469" s="22"/>
      <c r="O469" s="22">
        <f t="shared" si="301"/>
        <v>1338541</v>
      </c>
      <c r="P469" s="19">
        <f t="shared" si="287"/>
        <v>135193</v>
      </c>
      <c r="Q469" s="19">
        <f t="shared" si="302"/>
        <v>1473734</v>
      </c>
      <c r="R469" s="6">
        <f t="shared" si="289"/>
        <v>15474</v>
      </c>
      <c r="S469" s="6"/>
      <c r="T469" s="6"/>
      <c r="U469" s="123">
        <f t="shared" si="313"/>
        <v>132921</v>
      </c>
      <c r="V469" s="123">
        <f t="shared" si="314"/>
        <v>3011</v>
      </c>
      <c r="W469" s="123">
        <f t="shared" si="315"/>
        <v>84292</v>
      </c>
      <c r="X469" s="6"/>
      <c r="Y469" s="168">
        <f t="shared" si="316"/>
        <v>27645</v>
      </c>
      <c r="Z469" s="6"/>
      <c r="AA469" s="19">
        <f t="shared" si="317"/>
        <v>1737077</v>
      </c>
      <c r="AB469" s="19">
        <f t="shared" si="318"/>
        <v>1871909</v>
      </c>
      <c r="AC469" s="15">
        <f t="shared" si="319"/>
        <v>1896.56</v>
      </c>
      <c r="AD469" s="15">
        <f t="shared" si="320"/>
        <v>1871904.72</v>
      </c>
      <c r="AE469" s="25"/>
      <c r="AF469" s="157">
        <f t="shared" si="321"/>
        <v>-4.28</v>
      </c>
    </row>
    <row r="470" spans="1:32" s="4" customFormat="1" x14ac:dyDescent="0.25">
      <c r="A470" s="64" t="s">
        <v>1259</v>
      </c>
      <c r="B470" s="69" t="s">
        <v>894</v>
      </c>
      <c r="C470" s="12" t="s">
        <v>72</v>
      </c>
      <c r="D470" s="13">
        <v>987</v>
      </c>
      <c r="E470" s="18"/>
      <c r="F470" s="227">
        <v>97353</v>
      </c>
      <c r="G470" s="227">
        <f t="shared" si="284"/>
        <v>4888.2</v>
      </c>
      <c r="H470" s="228">
        <f t="shared" si="285"/>
        <v>102241.2</v>
      </c>
      <c r="I470" s="15"/>
      <c r="J470" s="22"/>
      <c r="K470" s="15"/>
      <c r="L470" s="15"/>
      <c r="M470" s="22"/>
      <c r="N470" s="22"/>
      <c r="O470" s="22">
        <f t="shared" si="301"/>
        <v>1385368</v>
      </c>
      <c r="P470" s="19">
        <f t="shared" si="287"/>
        <v>139922</v>
      </c>
      <c r="Q470" s="19">
        <f t="shared" si="302"/>
        <v>1525290</v>
      </c>
      <c r="R470" s="6">
        <f t="shared" si="289"/>
        <v>16016</v>
      </c>
      <c r="S470" s="6"/>
      <c r="T470" s="6"/>
      <c r="U470" s="123">
        <f t="shared" si="313"/>
        <v>137571</v>
      </c>
      <c r="V470" s="123">
        <f t="shared" si="314"/>
        <v>3116</v>
      </c>
      <c r="W470" s="123">
        <f t="shared" si="315"/>
        <v>87241</v>
      </c>
      <c r="X470" s="6"/>
      <c r="Y470" s="168">
        <f t="shared" si="316"/>
        <v>28612</v>
      </c>
      <c r="Z470" s="6"/>
      <c r="AA470" s="19">
        <f t="shared" si="317"/>
        <v>1797846</v>
      </c>
      <c r="AB470" s="19">
        <f t="shared" si="318"/>
        <v>1937395</v>
      </c>
      <c r="AC470" s="15">
        <f t="shared" si="319"/>
        <v>1962.91</v>
      </c>
      <c r="AD470" s="15">
        <f t="shared" si="320"/>
        <v>1937392.17</v>
      </c>
      <c r="AE470" s="25"/>
      <c r="AF470" s="157">
        <f t="shared" si="321"/>
        <v>-2.83</v>
      </c>
    </row>
    <row r="471" spans="1:32" s="4" customFormat="1" x14ac:dyDescent="0.25">
      <c r="A471" s="64" t="s">
        <v>1260</v>
      </c>
      <c r="B471" s="69" t="s">
        <v>1229</v>
      </c>
      <c r="C471" s="12" t="s">
        <v>72</v>
      </c>
      <c r="D471" s="13">
        <v>261</v>
      </c>
      <c r="E471" s="18"/>
      <c r="F471" s="227">
        <v>27774.9</v>
      </c>
      <c r="G471" s="227">
        <f t="shared" si="284"/>
        <v>1394.6</v>
      </c>
      <c r="H471" s="228">
        <f t="shared" si="285"/>
        <v>29169.5</v>
      </c>
      <c r="I471" s="15"/>
      <c r="J471" s="22"/>
      <c r="K471" s="15"/>
      <c r="L471" s="15"/>
      <c r="M471" s="22"/>
      <c r="N471" s="22"/>
      <c r="O471" s="22">
        <f t="shared" si="301"/>
        <v>395247</v>
      </c>
      <c r="P471" s="19">
        <f t="shared" si="287"/>
        <v>39920</v>
      </c>
      <c r="Q471" s="19">
        <f t="shared" si="302"/>
        <v>435167</v>
      </c>
      <c r="R471" s="6">
        <f t="shared" si="289"/>
        <v>4569</v>
      </c>
      <c r="S471" s="6"/>
      <c r="T471" s="6"/>
      <c r="U471" s="123">
        <f t="shared" si="313"/>
        <v>39249</v>
      </c>
      <c r="V471" s="123">
        <f t="shared" si="314"/>
        <v>889</v>
      </c>
      <c r="W471" s="123">
        <f t="shared" si="315"/>
        <v>24890</v>
      </c>
      <c r="X471" s="6"/>
      <c r="Y471" s="168">
        <f t="shared" si="316"/>
        <v>8163</v>
      </c>
      <c r="Z471" s="6"/>
      <c r="AA471" s="19">
        <f t="shared" si="317"/>
        <v>512927</v>
      </c>
      <c r="AB471" s="19">
        <f t="shared" si="318"/>
        <v>552740</v>
      </c>
      <c r="AC471" s="15">
        <f t="shared" si="319"/>
        <v>2117.7800000000002</v>
      </c>
      <c r="AD471" s="15">
        <f t="shared" si="320"/>
        <v>552740.57999999996</v>
      </c>
      <c r="AE471" s="25"/>
      <c r="AF471" s="157">
        <f t="shared" si="321"/>
        <v>0.57999999999999996</v>
      </c>
    </row>
    <row r="472" spans="1:32" s="4" customFormat="1" x14ac:dyDescent="0.25">
      <c r="A472" s="64" t="s">
        <v>1261</v>
      </c>
      <c r="B472" s="69" t="s">
        <v>1230</v>
      </c>
      <c r="C472" s="12" t="s">
        <v>72</v>
      </c>
      <c r="D472" s="13">
        <v>261</v>
      </c>
      <c r="E472" s="18"/>
      <c r="F472" s="227">
        <v>16701.8</v>
      </c>
      <c r="G472" s="227">
        <f t="shared" si="284"/>
        <v>838.6</v>
      </c>
      <c r="H472" s="228">
        <f t="shared" si="285"/>
        <v>17540.400000000001</v>
      </c>
      <c r="I472" s="15"/>
      <c r="J472" s="22"/>
      <c r="K472" s="15"/>
      <c r="L472" s="15"/>
      <c r="M472" s="22"/>
      <c r="N472" s="22"/>
      <c r="O472" s="22">
        <f t="shared" si="301"/>
        <v>237672</v>
      </c>
      <c r="P472" s="19">
        <f t="shared" si="287"/>
        <v>24005</v>
      </c>
      <c r="Q472" s="19">
        <f t="shared" si="302"/>
        <v>261677</v>
      </c>
      <c r="R472" s="6">
        <f t="shared" si="289"/>
        <v>2748</v>
      </c>
      <c r="S472" s="6"/>
      <c r="T472" s="6"/>
      <c r="U472" s="123">
        <f t="shared" si="313"/>
        <v>23602</v>
      </c>
      <c r="V472" s="123">
        <f t="shared" si="314"/>
        <v>535</v>
      </c>
      <c r="W472" s="123">
        <f t="shared" si="315"/>
        <v>14967</v>
      </c>
      <c r="X472" s="6"/>
      <c r="Y472" s="168">
        <f t="shared" si="316"/>
        <v>4909</v>
      </c>
      <c r="Z472" s="6"/>
      <c r="AA472" s="19">
        <f t="shared" si="317"/>
        <v>308438</v>
      </c>
      <c r="AB472" s="19">
        <f t="shared" si="318"/>
        <v>332379</v>
      </c>
      <c r="AC472" s="15">
        <f t="shared" si="319"/>
        <v>1273.48</v>
      </c>
      <c r="AD472" s="15">
        <f t="shared" si="320"/>
        <v>332378.28000000003</v>
      </c>
      <c r="AE472" s="25"/>
      <c r="AF472" s="157">
        <f t="shared" si="282"/>
        <v>-0.72</v>
      </c>
    </row>
    <row r="473" spans="1:32" s="4" customFormat="1" x14ac:dyDescent="0.25">
      <c r="A473" s="64" t="s">
        <v>1262</v>
      </c>
      <c r="B473" s="69" t="s">
        <v>897</v>
      </c>
      <c r="C473" s="12" t="s">
        <v>890</v>
      </c>
      <c r="D473" s="13">
        <v>68.2</v>
      </c>
      <c r="E473" s="18"/>
      <c r="F473" s="227">
        <v>264621.40000000002</v>
      </c>
      <c r="G473" s="227">
        <f t="shared" si="284"/>
        <v>13287</v>
      </c>
      <c r="H473" s="228">
        <f t="shared" si="285"/>
        <v>277908.40000000002</v>
      </c>
      <c r="I473" s="15"/>
      <c r="J473" s="22"/>
      <c r="K473" s="15"/>
      <c r="L473" s="15"/>
      <c r="M473" s="22"/>
      <c r="N473" s="22"/>
      <c r="O473" s="22">
        <f t="shared" si="301"/>
        <v>3765659</v>
      </c>
      <c r="P473" s="19">
        <f t="shared" si="287"/>
        <v>380332</v>
      </c>
      <c r="Q473" s="19">
        <f t="shared" si="302"/>
        <v>4145991</v>
      </c>
      <c r="R473" s="6">
        <f t="shared" si="289"/>
        <v>43533</v>
      </c>
      <c r="S473" s="6"/>
      <c r="T473" s="6"/>
      <c r="U473" s="123">
        <f t="shared" si="313"/>
        <v>373941</v>
      </c>
      <c r="V473" s="123">
        <f t="shared" si="314"/>
        <v>8471</v>
      </c>
      <c r="W473" s="123">
        <f t="shared" si="315"/>
        <v>237135</v>
      </c>
      <c r="X473" s="6"/>
      <c r="Y473" s="168">
        <f t="shared" si="316"/>
        <v>77773</v>
      </c>
      <c r="Z473" s="6"/>
      <c r="AA473" s="19">
        <f t="shared" si="317"/>
        <v>4886844</v>
      </c>
      <c r="AB473" s="19">
        <f t="shared" si="318"/>
        <v>5266161</v>
      </c>
      <c r="AC473" s="15">
        <f t="shared" si="319"/>
        <v>77216.44</v>
      </c>
      <c r="AD473" s="15">
        <f t="shared" si="320"/>
        <v>5266161.21</v>
      </c>
      <c r="AE473" s="25"/>
      <c r="AF473" s="157">
        <f t="shared" si="282"/>
        <v>0.21</v>
      </c>
    </row>
    <row r="474" spans="1:32" s="4" customFormat="1" ht="25.5" x14ac:dyDescent="0.25">
      <c r="A474" s="64" t="s">
        <v>1263</v>
      </c>
      <c r="B474" s="69" t="s">
        <v>898</v>
      </c>
      <c r="C474" s="12" t="s">
        <v>890</v>
      </c>
      <c r="D474" s="13">
        <v>190.8</v>
      </c>
      <c r="E474" s="18"/>
      <c r="F474" s="227">
        <v>265007</v>
      </c>
      <c r="G474" s="227">
        <f t="shared" si="284"/>
        <v>13306.3</v>
      </c>
      <c r="H474" s="228">
        <f t="shared" si="285"/>
        <v>278313.3</v>
      </c>
      <c r="I474" s="15"/>
      <c r="J474" s="22"/>
      <c r="K474" s="15"/>
      <c r="L474" s="15"/>
      <c r="M474" s="22"/>
      <c r="N474" s="22"/>
      <c r="O474" s="22">
        <f t="shared" si="301"/>
        <v>3771145</v>
      </c>
      <c r="P474" s="19">
        <f t="shared" si="287"/>
        <v>380886</v>
      </c>
      <c r="Q474" s="19">
        <f t="shared" si="302"/>
        <v>4152031</v>
      </c>
      <c r="R474" s="6">
        <f t="shared" si="289"/>
        <v>43596</v>
      </c>
      <c r="S474" s="6"/>
      <c r="T474" s="6"/>
      <c r="U474" s="123">
        <f t="shared" si="313"/>
        <v>374486</v>
      </c>
      <c r="V474" s="123">
        <f t="shared" si="314"/>
        <v>8483</v>
      </c>
      <c r="W474" s="123">
        <f t="shared" si="315"/>
        <v>237481</v>
      </c>
      <c r="X474" s="6"/>
      <c r="Y474" s="168">
        <f t="shared" si="316"/>
        <v>77887</v>
      </c>
      <c r="Z474" s="6"/>
      <c r="AA474" s="19">
        <f t="shared" si="317"/>
        <v>4893964</v>
      </c>
      <c r="AB474" s="19">
        <f t="shared" si="318"/>
        <v>5273833</v>
      </c>
      <c r="AC474" s="15">
        <f t="shared" si="319"/>
        <v>27640.63</v>
      </c>
      <c r="AD474" s="15">
        <f t="shared" si="320"/>
        <v>5273832.2</v>
      </c>
      <c r="AE474" s="25"/>
      <c r="AF474" s="157">
        <f t="shared" si="282"/>
        <v>-0.8</v>
      </c>
    </row>
    <row r="475" spans="1:32" s="4" customFormat="1" x14ac:dyDescent="0.25">
      <c r="A475" s="64" t="s">
        <v>1264</v>
      </c>
      <c r="B475" s="69" t="s">
        <v>1037</v>
      </c>
      <c r="C475" s="12" t="s">
        <v>890</v>
      </c>
      <c r="D475" s="13">
        <v>18</v>
      </c>
      <c r="E475" s="18"/>
      <c r="F475" s="227">
        <v>12682</v>
      </c>
      <c r="G475" s="227">
        <f t="shared" si="284"/>
        <v>636.79999999999995</v>
      </c>
      <c r="H475" s="228">
        <f t="shared" si="285"/>
        <v>13318.8</v>
      </c>
      <c r="I475" s="15"/>
      <c r="J475" s="22"/>
      <c r="K475" s="15"/>
      <c r="L475" s="15"/>
      <c r="M475" s="22"/>
      <c r="N475" s="22"/>
      <c r="O475" s="22">
        <f t="shared" si="301"/>
        <v>180470</v>
      </c>
      <c r="P475" s="19">
        <f t="shared" si="287"/>
        <v>18227</v>
      </c>
      <c r="Q475" s="19">
        <f t="shared" si="302"/>
        <v>198697</v>
      </c>
      <c r="R475" s="6">
        <f t="shared" si="289"/>
        <v>2086</v>
      </c>
      <c r="S475" s="6"/>
      <c r="T475" s="6"/>
      <c r="U475" s="123">
        <f t="shared" si="313"/>
        <v>17921</v>
      </c>
      <c r="V475" s="123">
        <f t="shared" si="314"/>
        <v>406</v>
      </c>
      <c r="W475" s="123">
        <f t="shared" si="315"/>
        <v>11365</v>
      </c>
      <c r="X475" s="6"/>
      <c r="Y475" s="168">
        <f t="shared" si="316"/>
        <v>3727</v>
      </c>
      <c r="Z475" s="6"/>
      <c r="AA475" s="19">
        <f t="shared" si="317"/>
        <v>234202</v>
      </c>
      <c r="AB475" s="19">
        <f t="shared" si="318"/>
        <v>252381</v>
      </c>
      <c r="AC475" s="15">
        <f t="shared" si="319"/>
        <v>14021.17</v>
      </c>
      <c r="AD475" s="15">
        <f t="shared" si="320"/>
        <v>252381.06</v>
      </c>
      <c r="AE475" s="25"/>
      <c r="AF475" s="157">
        <f t="shared" si="282"/>
        <v>0.06</v>
      </c>
    </row>
    <row r="476" spans="1:32" s="4" customFormat="1" ht="25.5" x14ac:dyDescent="0.25">
      <c r="A476" s="64" t="s">
        <v>1265</v>
      </c>
      <c r="B476" s="69" t="s">
        <v>1231</v>
      </c>
      <c r="C476" s="12" t="s">
        <v>311</v>
      </c>
      <c r="D476" s="13">
        <v>0.02</v>
      </c>
      <c r="E476" s="18"/>
      <c r="F476" s="227">
        <v>1596.3</v>
      </c>
      <c r="G476" s="227">
        <f t="shared" si="284"/>
        <v>80.2</v>
      </c>
      <c r="H476" s="228">
        <f t="shared" si="285"/>
        <v>1676.5</v>
      </c>
      <c r="I476" s="15"/>
      <c r="J476" s="22"/>
      <c r="K476" s="15"/>
      <c r="L476" s="15"/>
      <c r="M476" s="22"/>
      <c r="N476" s="22"/>
      <c r="O476" s="22">
        <f t="shared" si="301"/>
        <v>22717</v>
      </c>
      <c r="P476" s="19">
        <f t="shared" si="287"/>
        <v>2294</v>
      </c>
      <c r="Q476" s="19">
        <f t="shared" si="302"/>
        <v>25011</v>
      </c>
      <c r="R476" s="6">
        <f t="shared" si="289"/>
        <v>263</v>
      </c>
      <c r="S476" s="6"/>
      <c r="T476" s="6"/>
      <c r="U476" s="123">
        <f t="shared" si="313"/>
        <v>2256</v>
      </c>
      <c r="V476" s="123">
        <f t="shared" si="314"/>
        <v>51</v>
      </c>
      <c r="W476" s="123">
        <f t="shared" si="315"/>
        <v>1431</v>
      </c>
      <c r="X476" s="6"/>
      <c r="Y476" s="168">
        <f t="shared" si="316"/>
        <v>469</v>
      </c>
      <c r="Z476" s="6"/>
      <c r="AA476" s="19">
        <f t="shared" si="317"/>
        <v>29481</v>
      </c>
      <c r="AB476" s="19">
        <f t="shared" si="318"/>
        <v>31769</v>
      </c>
      <c r="AC476" s="15">
        <f t="shared" si="319"/>
        <v>1588450</v>
      </c>
      <c r="AD476" s="15">
        <f t="shared" si="320"/>
        <v>31769</v>
      </c>
      <c r="AE476" s="25"/>
      <c r="AF476" s="157">
        <f t="shared" si="282"/>
        <v>0</v>
      </c>
    </row>
    <row r="477" spans="1:32" s="4" customFormat="1" x14ac:dyDescent="0.25">
      <c r="A477" s="23" t="s">
        <v>1266</v>
      </c>
      <c r="B477" s="26" t="s">
        <v>1281</v>
      </c>
      <c r="C477" s="21"/>
      <c r="D477" s="212"/>
      <c r="E477" s="213"/>
      <c r="F477" s="230"/>
      <c r="G477" s="227"/>
      <c r="H477" s="228"/>
      <c r="I477" s="32"/>
      <c r="J477" s="22"/>
      <c r="K477" s="15"/>
      <c r="L477" s="15"/>
      <c r="M477" s="31"/>
      <c r="N477" s="31"/>
      <c r="O477" s="22"/>
      <c r="P477" s="19"/>
      <c r="Q477" s="19"/>
      <c r="R477" s="6"/>
      <c r="S477" s="6"/>
      <c r="T477" s="6"/>
      <c r="U477" s="123"/>
      <c r="V477" s="123"/>
      <c r="W477" s="123"/>
      <c r="X477" s="6"/>
      <c r="Y477" s="168"/>
      <c r="Z477" s="6"/>
      <c r="AA477" s="19"/>
      <c r="AB477" s="19"/>
      <c r="AC477" s="15"/>
      <c r="AD477" s="15"/>
      <c r="AE477" s="25"/>
      <c r="AF477" s="157">
        <f t="shared" si="282"/>
        <v>0</v>
      </c>
    </row>
    <row r="478" spans="1:32" s="4" customFormat="1" x14ac:dyDescent="0.25">
      <c r="A478" s="64" t="s">
        <v>1267</v>
      </c>
      <c r="B478" s="69" t="s">
        <v>900</v>
      </c>
      <c r="C478" s="12" t="s">
        <v>70</v>
      </c>
      <c r="D478" s="13">
        <v>21.6</v>
      </c>
      <c r="E478" s="18"/>
      <c r="F478" s="227">
        <v>26534.6</v>
      </c>
      <c r="G478" s="227">
        <f t="shared" si="284"/>
        <v>1332.3</v>
      </c>
      <c r="H478" s="228">
        <f t="shared" si="285"/>
        <v>27866.9</v>
      </c>
      <c r="I478" s="15"/>
      <c r="J478" s="22"/>
      <c r="K478" s="15"/>
      <c r="L478" s="15"/>
      <c r="M478" s="22"/>
      <c r="N478" s="22"/>
      <c r="O478" s="22">
        <f t="shared" si="301"/>
        <v>377596</v>
      </c>
      <c r="P478" s="19">
        <f t="shared" si="287"/>
        <v>38137</v>
      </c>
      <c r="Q478" s="19">
        <f t="shared" si="302"/>
        <v>415733</v>
      </c>
      <c r="R478" s="6">
        <f t="shared" si="289"/>
        <v>4365</v>
      </c>
      <c r="S478" s="6"/>
      <c r="T478" s="6"/>
      <c r="U478" s="123">
        <f t="shared" ref="U478:U491" si="322">Q478*$U$7</f>
        <v>37496</v>
      </c>
      <c r="V478" s="123">
        <f t="shared" ref="V478:V491" si="323">Q478*$V$7</f>
        <v>849</v>
      </c>
      <c r="W478" s="123">
        <f t="shared" ref="W478:W491" si="324">Q478*$W$7</f>
        <v>23778</v>
      </c>
      <c r="X478" s="6"/>
      <c r="Y478" s="168">
        <f t="shared" ref="Y478:Y491" si="325">Q478*$Y$7</f>
        <v>7799</v>
      </c>
      <c r="Z478" s="6"/>
      <c r="AA478" s="19">
        <f t="shared" ref="AA478:AA491" si="326">SUM(Q478:Z478)</f>
        <v>490020</v>
      </c>
      <c r="AB478" s="19">
        <f t="shared" ref="AB478:AB491" si="327">$AA478*AB$7</f>
        <v>528055</v>
      </c>
      <c r="AC478" s="15">
        <f t="shared" ref="AC478:AC491" si="328">AB478/D478</f>
        <v>24446.99</v>
      </c>
      <c r="AD478" s="15">
        <f t="shared" ref="AD478:AD491" si="329">AC478*D478</f>
        <v>528054.98</v>
      </c>
      <c r="AE478" s="25"/>
      <c r="AF478" s="157">
        <f t="shared" si="282"/>
        <v>-0.02</v>
      </c>
    </row>
    <row r="479" spans="1:32" s="4" customFormat="1" x14ac:dyDescent="0.25">
      <c r="A479" s="64" t="s">
        <v>1268</v>
      </c>
      <c r="B479" s="69" t="s">
        <v>901</v>
      </c>
      <c r="C479" s="12" t="s">
        <v>70</v>
      </c>
      <c r="D479" s="13">
        <v>11.5</v>
      </c>
      <c r="E479" s="18"/>
      <c r="F479" s="227">
        <v>4572.7</v>
      </c>
      <c r="G479" s="227">
        <f t="shared" si="284"/>
        <v>229.6</v>
      </c>
      <c r="H479" s="228">
        <f t="shared" si="285"/>
        <v>4802.3</v>
      </c>
      <c r="I479" s="15"/>
      <c r="J479" s="22"/>
      <c r="K479" s="15"/>
      <c r="L479" s="15"/>
      <c r="M479" s="22"/>
      <c r="N479" s="22"/>
      <c r="O479" s="22">
        <f t="shared" si="301"/>
        <v>65071</v>
      </c>
      <c r="P479" s="19">
        <f t="shared" si="287"/>
        <v>6572</v>
      </c>
      <c r="Q479" s="19">
        <f t="shared" si="302"/>
        <v>71643</v>
      </c>
      <c r="R479" s="6">
        <f t="shared" si="289"/>
        <v>752</v>
      </c>
      <c r="S479" s="6"/>
      <c r="T479" s="6"/>
      <c r="U479" s="123">
        <f t="shared" si="322"/>
        <v>6462</v>
      </c>
      <c r="V479" s="123">
        <f t="shared" si="323"/>
        <v>146</v>
      </c>
      <c r="W479" s="123">
        <f t="shared" si="324"/>
        <v>4098</v>
      </c>
      <c r="X479" s="6"/>
      <c r="Y479" s="168">
        <f t="shared" si="325"/>
        <v>1344</v>
      </c>
      <c r="Z479" s="6"/>
      <c r="AA479" s="19">
        <f t="shared" si="326"/>
        <v>84445</v>
      </c>
      <c r="AB479" s="19">
        <f t="shared" si="327"/>
        <v>91000</v>
      </c>
      <c r="AC479" s="15">
        <f t="shared" si="328"/>
        <v>7913.04</v>
      </c>
      <c r="AD479" s="15">
        <f t="shared" si="329"/>
        <v>90999.96</v>
      </c>
      <c r="AE479" s="25"/>
      <c r="AF479" s="157">
        <f t="shared" si="282"/>
        <v>-0.04</v>
      </c>
    </row>
    <row r="480" spans="1:32" s="4" customFormat="1" x14ac:dyDescent="0.25">
      <c r="A480" s="64" t="s">
        <v>1269</v>
      </c>
      <c r="B480" s="69" t="s">
        <v>1039</v>
      </c>
      <c r="C480" s="12" t="s">
        <v>70</v>
      </c>
      <c r="D480" s="13">
        <v>80.400000000000006</v>
      </c>
      <c r="E480" s="18"/>
      <c r="F480" s="227">
        <v>240271.9</v>
      </c>
      <c r="G480" s="227">
        <f t="shared" si="284"/>
        <v>12064.3</v>
      </c>
      <c r="H480" s="228">
        <f t="shared" si="285"/>
        <v>252336.2</v>
      </c>
      <c r="I480" s="15"/>
      <c r="J480" s="22"/>
      <c r="K480" s="15"/>
      <c r="L480" s="15"/>
      <c r="M480" s="22"/>
      <c r="N480" s="22"/>
      <c r="O480" s="22">
        <f t="shared" si="301"/>
        <v>3419156</v>
      </c>
      <c r="P480" s="19">
        <f t="shared" si="287"/>
        <v>345335</v>
      </c>
      <c r="Q480" s="19">
        <f t="shared" si="302"/>
        <v>3764491</v>
      </c>
      <c r="R480" s="6">
        <f t="shared" si="289"/>
        <v>39527</v>
      </c>
      <c r="S480" s="6"/>
      <c r="T480" s="6"/>
      <c r="U480" s="123">
        <f t="shared" si="322"/>
        <v>339533</v>
      </c>
      <c r="V480" s="123">
        <f t="shared" si="323"/>
        <v>7692</v>
      </c>
      <c r="W480" s="123">
        <f t="shared" si="324"/>
        <v>215315</v>
      </c>
      <c r="X480" s="6"/>
      <c r="Y480" s="168">
        <f t="shared" si="325"/>
        <v>70617</v>
      </c>
      <c r="Z480" s="6"/>
      <c r="AA480" s="19">
        <f t="shared" si="326"/>
        <v>4437175</v>
      </c>
      <c r="AB480" s="19">
        <f t="shared" si="327"/>
        <v>4781589</v>
      </c>
      <c r="AC480" s="15">
        <f t="shared" si="328"/>
        <v>59472.5</v>
      </c>
      <c r="AD480" s="15">
        <f t="shared" si="329"/>
        <v>4781589</v>
      </c>
      <c r="AE480" s="25"/>
      <c r="AF480" s="157">
        <f t="shared" si="282"/>
        <v>0</v>
      </c>
    </row>
    <row r="481" spans="1:32" s="4" customFormat="1" x14ac:dyDescent="0.25">
      <c r="A481" s="64" t="s">
        <v>1270</v>
      </c>
      <c r="B481" s="69" t="s">
        <v>872</v>
      </c>
      <c r="C481" s="12" t="s">
        <v>72</v>
      </c>
      <c r="D481" s="13">
        <v>50.5</v>
      </c>
      <c r="E481" s="18"/>
      <c r="F481" s="227">
        <v>4421.2</v>
      </c>
      <c r="G481" s="227">
        <f t="shared" si="284"/>
        <v>222</v>
      </c>
      <c r="H481" s="228">
        <f t="shared" si="285"/>
        <v>4643.2</v>
      </c>
      <c r="I481" s="15"/>
      <c r="J481" s="22"/>
      <c r="K481" s="15"/>
      <c r="L481" s="15"/>
      <c r="M481" s="22"/>
      <c r="N481" s="22"/>
      <c r="O481" s="22">
        <f t="shared" si="301"/>
        <v>62915</v>
      </c>
      <c r="P481" s="19">
        <f t="shared" si="287"/>
        <v>6354</v>
      </c>
      <c r="Q481" s="19">
        <f t="shared" si="302"/>
        <v>69269</v>
      </c>
      <c r="R481" s="6">
        <f t="shared" si="289"/>
        <v>727</v>
      </c>
      <c r="S481" s="6"/>
      <c r="T481" s="6"/>
      <c r="U481" s="123">
        <f t="shared" si="322"/>
        <v>6248</v>
      </c>
      <c r="V481" s="123">
        <f t="shared" si="323"/>
        <v>142</v>
      </c>
      <c r="W481" s="123">
        <f t="shared" si="324"/>
        <v>3962</v>
      </c>
      <c r="X481" s="6"/>
      <c r="Y481" s="168">
        <f t="shared" si="325"/>
        <v>1299</v>
      </c>
      <c r="Z481" s="6"/>
      <c r="AA481" s="19">
        <f t="shared" si="326"/>
        <v>81647</v>
      </c>
      <c r="AB481" s="19">
        <f t="shared" si="327"/>
        <v>87984</v>
      </c>
      <c r="AC481" s="15">
        <f t="shared" si="328"/>
        <v>1742.26</v>
      </c>
      <c r="AD481" s="15">
        <f t="shared" si="329"/>
        <v>87984.13</v>
      </c>
      <c r="AE481" s="25"/>
      <c r="AF481" s="157">
        <f t="shared" si="282"/>
        <v>0.13</v>
      </c>
    </row>
    <row r="482" spans="1:32" s="4" customFormat="1" x14ac:dyDescent="0.25">
      <c r="A482" s="64" t="s">
        <v>1271</v>
      </c>
      <c r="B482" s="69" t="s">
        <v>904</v>
      </c>
      <c r="C482" s="12" t="s">
        <v>72</v>
      </c>
      <c r="D482" s="13">
        <v>150.30000000000001</v>
      </c>
      <c r="E482" s="18"/>
      <c r="F482" s="227">
        <v>19502.5</v>
      </c>
      <c r="G482" s="227">
        <f t="shared" si="284"/>
        <v>979.2</v>
      </c>
      <c r="H482" s="228">
        <f t="shared" si="285"/>
        <v>20481.7</v>
      </c>
      <c r="I482" s="15"/>
      <c r="J482" s="22"/>
      <c r="K482" s="15"/>
      <c r="L482" s="15"/>
      <c r="M482" s="22"/>
      <c r="N482" s="22"/>
      <c r="O482" s="22">
        <f t="shared" si="301"/>
        <v>277527</v>
      </c>
      <c r="P482" s="19">
        <f t="shared" si="287"/>
        <v>28030</v>
      </c>
      <c r="Q482" s="19">
        <f t="shared" si="302"/>
        <v>305557</v>
      </c>
      <c r="R482" s="6">
        <f t="shared" si="289"/>
        <v>3208</v>
      </c>
      <c r="S482" s="6"/>
      <c r="T482" s="6"/>
      <c r="U482" s="123">
        <f t="shared" si="322"/>
        <v>27559</v>
      </c>
      <c r="V482" s="123">
        <f t="shared" si="323"/>
        <v>624</v>
      </c>
      <c r="W482" s="123">
        <f t="shared" si="324"/>
        <v>17477</v>
      </c>
      <c r="X482" s="6"/>
      <c r="Y482" s="168">
        <f t="shared" si="325"/>
        <v>5732</v>
      </c>
      <c r="Z482" s="6"/>
      <c r="AA482" s="19">
        <f t="shared" si="326"/>
        <v>360157</v>
      </c>
      <c r="AB482" s="19">
        <f t="shared" si="327"/>
        <v>388112</v>
      </c>
      <c r="AC482" s="15">
        <f t="shared" si="328"/>
        <v>2582.25</v>
      </c>
      <c r="AD482" s="15">
        <f t="shared" si="329"/>
        <v>388112.18</v>
      </c>
      <c r="AE482" s="25"/>
      <c r="AF482" s="157">
        <f t="shared" ref="AF482:AF486" si="330">AD482-AB482</f>
        <v>0.18</v>
      </c>
    </row>
    <row r="483" spans="1:32" s="4" customFormat="1" x14ac:dyDescent="0.25">
      <c r="A483" s="64" t="s">
        <v>1272</v>
      </c>
      <c r="B483" s="69" t="s">
        <v>1040</v>
      </c>
      <c r="C483" s="12" t="s">
        <v>72</v>
      </c>
      <c r="D483" s="13">
        <v>30</v>
      </c>
      <c r="E483" s="18"/>
      <c r="F483" s="227">
        <v>1370.2</v>
      </c>
      <c r="G483" s="227">
        <f t="shared" si="284"/>
        <v>68.8</v>
      </c>
      <c r="H483" s="228">
        <f t="shared" si="285"/>
        <v>1439</v>
      </c>
      <c r="I483" s="15"/>
      <c r="J483" s="22"/>
      <c r="K483" s="15"/>
      <c r="L483" s="15"/>
      <c r="M483" s="22"/>
      <c r="N483" s="22"/>
      <c r="O483" s="22">
        <f t="shared" si="301"/>
        <v>19498</v>
      </c>
      <c r="P483" s="19">
        <f t="shared" si="287"/>
        <v>1969</v>
      </c>
      <c r="Q483" s="19">
        <f t="shared" si="302"/>
        <v>21467</v>
      </c>
      <c r="R483" s="6">
        <f t="shared" si="289"/>
        <v>225</v>
      </c>
      <c r="S483" s="6"/>
      <c r="T483" s="6"/>
      <c r="U483" s="123">
        <f t="shared" si="322"/>
        <v>1936</v>
      </c>
      <c r="V483" s="123">
        <f t="shared" si="323"/>
        <v>44</v>
      </c>
      <c r="W483" s="123">
        <f t="shared" si="324"/>
        <v>1228</v>
      </c>
      <c r="X483" s="6"/>
      <c r="Y483" s="168">
        <f t="shared" si="325"/>
        <v>403</v>
      </c>
      <c r="Z483" s="6"/>
      <c r="AA483" s="19">
        <f t="shared" si="326"/>
        <v>25303</v>
      </c>
      <c r="AB483" s="19">
        <f t="shared" si="327"/>
        <v>27267</v>
      </c>
      <c r="AC483" s="15">
        <f t="shared" si="328"/>
        <v>908.9</v>
      </c>
      <c r="AD483" s="15">
        <f t="shared" si="329"/>
        <v>27267</v>
      </c>
      <c r="AE483" s="25"/>
      <c r="AF483" s="157">
        <f t="shared" si="330"/>
        <v>0</v>
      </c>
    </row>
    <row r="484" spans="1:32" s="4" customFormat="1" x14ac:dyDescent="0.25">
      <c r="A484" s="64" t="s">
        <v>1273</v>
      </c>
      <c r="B484" s="69" t="s">
        <v>906</v>
      </c>
      <c r="C484" s="12" t="s">
        <v>72</v>
      </c>
      <c r="D484" s="13">
        <v>89</v>
      </c>
      <c r="E484" s="18"/>
      <c r="F484" s="227">
        <v>19952.3</v>
      </c>
      <c r="G484" s="227">
        <f t="shared" si="284"/>
        <v>1001.8</v>
      </c>
      <c r="H484" s="228">
        <f t="shared" si="285"/>
        <v>20954.099999999999</v>
      </c>
      <c r="I484" s="15"/>
      <c r="J484" s="22"/>
      <c r="K484" s="15"/>
      <c r="L484" s="15"/>
      <c r="M484" s="22"/>
      <c r="N484" s="22"/>
      <c r="O484" s="22">
        <f t="shared" si="301"/>
        <v>283928</v>
      </c>
      <c r="P484" s="19">
        <f t="shared" si="287"/>
        <v>28677</v>
      </c>
      <c r="Q484" s="19">
        <f t="shared" si="302"/>
        <v>312605</v>
      </c>
      <c r="R484" s="6">
        <f t="shared" si="289"/>
        <v>3282</v>
      </c>
      <c r="S484" s="6"/>
      <c r="T484" s="6"/>
      <c r="U484" s="123">
        <f t="shared" si="322"/>
        <v>28195</v>
      </c>
      <c r="V484" s="123">
        <f t="shared" si="323"/>
        <v>639</v>
      </c>
      <c r="W484" s="123">
        <f t="shared" si="324"/>
        <v>17880</v>
      </c>
      <c r="X484" s="6"/>
      <c r="Y484" s="168">
        <f t="shared" si="325"/>
        <v>5864</v>
      </c>
      <c r="Z484" s="6"/>
      <c r="AA484" s="19">
        <f t="shared" si="326"/>
        <v>368465</v>
      </c>
      <c r="AB484" s="19">
        <f t="shared" si="327"/>
        <v>397065</v>
      </c>
      <c r="AC484" s="15">
        <f t="shared" si="328"/>
        <v>4461.3999999999996</v>
      </c>
      <c r="AD484" s="15">
        <f t="shared" si="329"/>
        <v>397064.6</v>
      </c>
      <c r="AE484" s="25"/>
      <c r="AF484" s="157">
        <f t="shared" si="330"/>
        <v>-0.4</v>
      </c>
    </row>
    <row r="485" spans="1:32" s="4" customFormat="1" x14ac:dyDescent="0.25">
      <c r="A485" s="64" t="s">
        <v>1274</v>
      </c>
      <c r="B485" s="69" t="s">
        <v>893</v>
      </c>
      <c r="C485" s="12" t="s">
        <v>72</v>
      </c>
      <c r="D485" s="13">
        <v>117</v>
      </c>
      <c r="E485" s="18"/>
      <c r="F485" s="227">
        <v>12919.8</v>
      </c>
      <c r="G485" s="227">
        <f t="shared" si="284"/>
        <v>648.70000000000005</v>
      </c>
      <c r="H485" s="228">
        <f t="shared" si="285"/>
        <v>13568.5</v>
      </c>
      <c r="I485" s="15"/>
      <c r="J485" s="22"/>
      <c r="K485" s="15"/>
      <c r="L485" s="15"/>
      <c r="M485" s="22"/>
      <c r="N485" s="22"/>
      <c r="O485" s="22">
        <f t="shared" si="301"/>
        <v>183853</v>
      </c>
      <c r="P485" s="19">
        <f t="shared" si="287"/>
        <v>18569</v>
      </c>
      <c r="Q485" s="19">
        <f t="shared" si="302"/>
        <v>202422</v>
      </c>
      <c r="R485" s="6">
        <f t="shared" si="289"/>
        <v>2125</v>
      </c>
      <c r="S485" s="6"/>
      <c r="T485" s="6"/>
      <c r="U485" s="123">
        <f t="shared" si="322"/>
        <v>18257</v>
      </c>
      <c r="V485" s="123">
        <f t="shared" si="323"/>
        <v>414</v>
      </c>
      <c r="W485" s="123">
        <f t="shared" si="324"/>
        <v>11578</v>
      </c>
      <c r="X485" s="6"/>
      <c r="Y485" s="168">
        <f t="shared" si="325"/>
        <v>3797</v>
      </c>
      <c r="Z485" s="6"/>
      <c r="AA485" s="19">
        <f t="shared" si="326"/>
        <v>238593</v>
      </c>
      <c r="AB485" s="19">
        <f t="shared" si="327"/>
        <v>257113</v>
      </c>
      <c r="AC485" s="15">
        <f t="shared" si="328"/>
        <v>2197.5500000000002</v>
      </c>
      <c r="AD485" s="15">
        <f t="shared" si="329"/>
        <v>257113.35</v>
      </c>
      <c r="AE485" s="25"/>
      <c r="AF485" s="157">
        <f t="shared" si="330"/>
        <v>0.35</v>
      </c>
    </row>
    <row r="486" spans="1:32" s="4" customFormat="1" x14ac:dyDescent="0.25">
      <c r="A486" s="64" t="s">
        <v>1275</v>
      </c>
      <c r="B486" s="69" t="s">
        <v>894</v>
      </c>
      <c r="C486" s="12" t="s">
        <v>72</v>
      </c>
      <c r="D486" s="13">
        <v>117</v>
      </c>
      <c r="E486" s="18"/>
      <c r="F486" s="227">
        <v>11818.6</v>
      </c>
      <c r="G486" s="227">
        <f t="shared" si="284"/>
        <v>593.4</v>
      </c>
      <c r="H486" s="228">
        <f t="shared" si="285"/>
        <v>12412</v>
      </c>
      <c r="I486" s="15"/>
      <c r="J486" s="22"/>
      <c r="K486" s="15"/>
      <c r="L486" s="15"/>
      <c r="M486" s="22"/>
      <c r="N486" s="22"/>
      <c r="O486" s="22">
        <f t="shared" si="301"/>
        <v>168183</v>
      </c>
      <c r="P486" s="19">
        <f t="shared" si="287"/>
        <v>16986</v>
      </c>
      <c r="Q486" s="19">
        <f t="shared" si="302"/>
        <v>185169</v>
      </c>
      <c r="R486" s="6">
        <f t="shared" si="289"/>
        <v>1944</v>
      </c>
      <c r="S486" s="6"/>
      <c r="T486" s="6"/>
      <c r="U486" s="123">
        <f t="shared" si="322"/>
        <v>16701</v>
      </c>
      <c r="V486" s="123">
        <f t="shared" si="323"/>
        <v>378</v>
      </c>
      <c r="W486" s="123">
        <f t="shared" si="324"/>
        <v>10591</v>
      </c>
      <c r="X486" s="6"/>
      <c r="Y486" s="168">
        <f t="shared" si="325"/>
        <v>3474</v>
      </c>
      <c r="Z486" s="6"/>
      <c r="AA486" s="19">
        <f t="shared" si="326"/>
        <v>218257</v>
      </c>
      <c r="AB486" s="19">
        <f t="shared" si="327"/>
        <v>235198</v>
      </c>
      <c r="AC486" s="15">
        <f t="shared" si="328"/>
        <v>2010.24</v>
      </c>
      <c r="AD486" s="15">
        <f t="shared" si="329"/>
        <v>235198.07999999999</v>
      </c>
      <c r="AE486" s="25"/>
      <c r="AF486" s="157">
        <f t="shared" si="330"/>
        <v>0.08</v>
      </c>
    </row>
    <row r="487" spans="1:32" s="4" customFormat="1" x14ac:dyDescent="0.25">
      <c r="A487" s="64" t="s">
        <v>1276</v>
      </c>
      <c r="B487" s="69" t="s">
        <v>1041</v>
      </c>
      <c r="C487" s="12" t="s">
        <v>72</v>
      </c>
      <c r="D487" s="13">
        <v>8</v>
      </c>
      <c r="E487" s="18"/>
      <c r="F487" s="227">
        <v>393.4</v>
      </c>
      <c r="G487" s="227">
        <f t="shared" si="284"/>
        <v>19.8</v>
      </c>
      <c r="H487" s="228">
        <f t="shared" si="285"/>
        <v>413.2</v>
      </c>
      <c r="I487" s="15"/>
      <c r="J487" s="22"/>
      <c r="K487" s="15"/>
      <c r="L487" s="15"/>
      <c r="M487" s="22"/>
      <c r="N487" s="22"/>
      <c r="O487" s="22">
        <f t="shared" si="301"/>
        <v>5599</v>
      </c>
      <c r="P487" s="19">
        <f t="shared" si="287"/>
        <v>565</v>
      </c>
      <c r="Q487" s="19">
        <f t="shared" si="302"/>
        <v>6164</v>
      </c>
      <c r="R487" s="6">
        <f t="shared" si="289"/>
        <v>65</v>
      </c>
      <c r="S487" s="6"/>
      <c r="T487" s="6"/>
      <c r="U487" s="123">
        <f t="shared" si="322"/>
        <v>556</v>
      </c>
      <c r="V487" s="123">
        <f t="shared" si="323"/>
        <v>13</v>
      </c>
      <c r="W487" s="123">
        <f t="shared" si="324"/>
        <v>353</v>
      </c>
      <c r="X487" s="6"/>
      <c r="Y487" s="168">
        <f t="shared" si="325"/>
        <v>116</v>
      </c>
      <c r="Z487" s="6"/>
      <c r="AA487" s="19">
        <f t="shared" si="326"/>
        <v>7267</v>
      </c>
      <c r="AB487" s="19">
        <f t="shared" si="327"/>
        <v>7831</v>
      </c>
      <c r="AC487" s="15">
        <f t="shared" si="328"/>
        <v>978.88</v>
      </c>
      <c r="AD487" s="15">
        <f t="shared" si="329"/>
        <v>7831.04</v>
      </c>
      <c r="AE487" s="25"/>
      <c r="AF487" s="157">
        <f t="shared" si="282"/>
        <v>0.04</v>
      </c>
    </row>
    <row r="488" spans="1:32" s="4" customFormat="1" x14ac:dyDescent="0.25">
      <c r="A488" s="64" t="s">
        <v>1277</v>
      </c>
      <c r="B488" s="69" t="s">
        <v>1042</v>
      </c>
      <c r="C488" s="12" t="s">
        <v>72</v>
      </c>
      <c r="D488" s="13">
        <v>32</v>
      </c>
      <c r="E488" s="18"/>
      <c r="F488" s="227">
        <v>6212.8</v>
      </c>
      <c r="G488" s="227">
        <f t="shared" si="284"/>
        <v>312</v>
      </c>
      <c r="H488" s="228">
        <f t="shared" si="285"/>
        <v>6524.8</v>
      </c>
      <c r="I488" s="15"/>
      <c r="J488" s="22"/>
      <c r="K488" s="15"/>
      <c r="L488" s="15"/>
      <c r="M488" s="22"/>
      <c r="N488" s="22"/>
      <c r="O488" s="22">
        <f t="shared" si="301"/>
        <v>88411</v>
      </c>
      <c r="P488" s="19">
        <f t="shared" si="287"/>
        <v>8930</v>
      </c>
      <c r="Q488" s="19">
        <f t="shared" si="302"/>
        <v>97341</v>
      </c>
      <c r="R488" s="6">
        <f t="shared" si="289"/>
        <v>1022</v>
      </c>
      <c r="S488" s="6"/>
      <c r="T488" s="6"/>
      <c r="U488" s="123">
        <f t="shared" si="322"/>
        <v>8780</v>
      </c>
      <c r="V488" s="123">
        <f t="shared" si="323"/>
        <v>199</v>
      </c>
      <c r="W488" s="123">
        <f t="shared" si="324"/>
        <v>5568</v>
      </c>
      <c r="X488" s="6"/>
      <c r="Y488" s="168">
        <f t="shared" si="325"/>
        <v>1826</v>
      </c>
      <c r="Z488" s="6"/>
      <c r="AA488" s="19">
        <f t="shared" si="326"/>
        <v>114736</v>
      </c>
      <c r="AB488" s="19">
        <f t="shared" si="327"/>
        <v>123642</v>
      </c>
      <c r="AC488" s="15">
        <f t="shared" si="328"/>
        <v>3863.81</v>
      </c>
      <c r="AD488" s="15">
        <f t="shared" si="329"/>
        <v>123641.92</v>
      </c>
      <c r="AE488" s="25"/>
      <c r="AF488" s="157">
        <f t="shared" si="282"/>
        <v>-0.08</v>
      </c>
    </row>
    <row r="489" spans="1:32" s="4" customFormat="1" x14ac:dyDescent="0.25">
      <c r="A489" s="64" t="s">
        <v>1278</v>
      </c>
      <c r="B489" s="69" t="s">
        <v>1043</v>
      </c>
      <c r="C489" s="12" t="s">
        <v>70</v>
      </c>
      <c r="D489" s="13">
        <v>960</v>
      </c>
      <c r="E489" s="18"/>
      <c r="F489" s="227">
        <v>48060.2</v>
      </c>
      <c r="G489" s="227">
        <f t="shared" si="284"/>
        <v>2413.1999999999998</v>
      </c>
      <c r="H489" s="228">
        <f t="shared" si="285"/>
        <v>50473.4</v>
      </c>
      <c r="I489" s="15"/>
      <c r="J489" s="22"/>
      <c r="K489" s="15"/>
      <c r="L489" s="15"/>
      <c r="M489" s="22"/>
      <c r="N489" s="22"/>
      <c r="O489" s="22">
        <f t="shared" si="301"/>
        <v>683915</v>
      </c>
      <c r="P489" s="19">
        <f t="shared" si="287"/>
        <v>69075</v>
      </c>
      <c r="Q489" s="19">
        <f t="shared" si="302"/>
        <v>752990</v>
      </c>
      <c r="R489" s="6">
        <f t="shared" si="289"/>
        <v>7906</v>
      </c>
      <c r="S489" s="6"/>
      <c r="T489" s="6"/>
      <c r="U489" s="123">
        <f t="shared" si="322"/>
        <v>67915</v>
      </c>
      <c r="V489" s="123">
        <f t="shared" si="323"/>
        <v>1539</v>
      </c>
      <c r="W489" s="123">
        <f t="shared" si="324"/>
        <v>43068</v>
      </c>
      <c r="X489" s="6"/>
      <c r="Y489" s="168">
        <f t="shared" si="325"/>
        <v>14125</v>
      </c>
      <c r="Z489" s="6"/>
      <c r="AA489" s="19">
        <f t="shared" si="326"/>
        <v>887543</v>
      </c>
      <c r="AB489" s="19">
        <f t="shared" si="327"/>
        <v>956434</v>
      </c>
      <c r="AC489" s="15">
        <f t="shared" si="328"/>
        <v>996.29</v>
      </c>
      <c r="AD489" s="15">
        <f t="shared" si="329"/>
        <v>956438.4</v>
      </c>
      <c r="AE489" s="25"/>
      <c r="AF489" s="157">
        <f t="shared" si="282"/>
        <v>4.4000000000000004</v>
      </c>
    </row>
    <row r="490" spans="1:32" s="4" customFormat="1" x14ac:dyDescent="0.25">
      <c r="A490" s="64" t="s">
        <v>1279</v>
      </c>
      <c r="B490" s="69" t="s">
        <v>909</v>
      </c>
      <c r="C490" s="12" t="s">
        <v>70</v>
      </c>
      <c r="D490" s="13">
        <v>400</v>
      </c>
      <c r="E490" s="18"/>
      <c r="F490" s="227">
        <v>112734.9</v>
      </c>
      <c r="G490" s="227">
        <f t="shared" si="284"/>
        <v>5660.6</v>
      </c>
      <c r="H490" s="228">
        <f t="shared" si="285"/>
        <v>118395.5</v>
      </c>
      <c r="I490" s="15"/>
      <c r="J490" s="22"/>
      <c r="K490" s="15"/>
      <c r="L490" s="15"/>
      <c r="M490" s="22"/>
      <c r="N490" s="22"/>
      <c r="O490" s="22">
        <f t="shared" si="301"/>
        <v>1604259</v>
      </c>
      <c r="P490" s="19">
        <f t="shared" si="287"/>
        <v>162030</v>
      </c>
      <c r="Q490" s="19">
        <f t="shared" si="302"/>
        <v>1766289</v>
      </c>
      <c r="R490" s="6">
        <f t="shared" si="289"/>
        <v>18546</v>
      </c>
      <c r="S490" s="6"/>
      <c r="T490" s="6"/>
      <c r="U490" s="123">
        <f t="shared" si="322"/>
        <v>159308</v>
      </c>
      <c r="V490" s="123">
        <f t="shared" si="323"/>
        <v>3609</v>
      </c>
      <c r="W490" s="123">
        <f t="shared" si="324"/>
        <v>101025</v>
      </c>
      <c r="X490" s="6"/>
      <c r="Y490" s="168">
        <f t="shared" si="325"/>
        <v>33133</v>
      </c>
      <c r="Z490" s="6"/>
      <c r="AA490" s="19">
        <f t="shared" si="326"/>
        <v>2081910</v>
      </c>
      <c r="AB490" s="19">
        <f t="shared" si="327"/>
        <v>2243508</v>
      </c>
      <c r="AC490" s="15">
        <f t="shared" si="328"/>
        <v>5608.77</v>
      </c>
      <c r="AD490" s="15">
        <f t="shared" si="329"/>
        <v>2243508</v>
      </c>
      <c r="AE490" s="25"/>
      <c r="AF490" s="157">
        <f t="shared" si="282"/>
        <v>0</v>
      </c>
    </row>
    <row r="491" spans="1:32" s="4" customFormat="1" x14ac:dyDescent="0.25">
      <c r="A491" s="64" t="s">
        <v>1280</v>
      </c>
      <c r="B491" s="69" t="s">
        <v>1044</v>
      </c>
      <c r="C491" s="12" t="s">
        <v>72</v>
      </c>
      <c r="D491" s="13">
        <v>16</v>
      </c>
      <c r="E491" s="18"/>
      <c r="F491" s="227">
        <v>453.3</v>
      </c>
      <c r="G491" s="227">
        <f t="shared" si="284"/>
        <v>22.8</v>
      </c>
      <c r="H491" s="228">
        <f t="shared" si="285"/>
        <v>476.1</v>
      </c>
      <c r="I491" s="15"/>
      <c r="J491" s="22"/>
      <c r="K491" s="15"/>
      <c r="L491" s="15"/>
      <c r="M491" s="22"/>
      <c r="N491" s="22"/>
      <c r="O491" s="22">
        <f t="shared" si="301"/>
        <v>6451</v>
      </c>
      <c r="P491" s="19">
        <f t="shared" si="287"/>
        <v>652</v>
      </c>
      <c r="Q491" s="19">
        <f t="shared" si="302"/>
        <v>7103</v>
      </c>
      <c r="R491" s="6">
        <f t="shared" si="289"/>
        <v>75</v>
      </c>
      <c r="S491" s="6"/>
      <c r="T491" s="6"/>
      <c r="U491" s="123">
        <f t="shared" si="322"/>
        <v>641</v>
      </c>
      <c r="V491" s="123">
        <f t="shared" si="323"/>
        <v>15</v>
      </c>
      <c r="W491" s="123">
        <f t="shared" si="324"/>
        <v>406</v>
      </c>
      <c r="X491" s="6"/>
      <c r="Y491" s="168">
        <f t="shared" si="325"/>
        <v>133</v>
      </c>
      <c r="Z491" s="6"/>
      <c r="AA491" s="19">
        <f t="shared" si="326"/>
        <v>8373</v>
      </c>
      <c r="AB491" s="19">
        <f t="shared" si="327"/>
        <v>9023</v>
      </c>
      <c r="AC491" s="15">
        <f t="shared" si="328"/>
        <v>563.94000000000005</v>
      </c>
      <c r="AD491" s="15">
        <f t="shared" si="329"/>
        <v>9023.0400000000009</v>
      </c>
      <c r="AE491" s="25"/>
      <c r="AF491" s="157">
        <f t="shared" si="282"/>
        <v>0.04</v>
      </c>
    </row>
    <row r="492" spans="1:32" s="4" customFormat="1" x14ac:dyDescent="0.25">
      <c r="A492" s="10" t="s">
        <v>145</v>
      </c>
      <c r="B492" s="17" t="s">
        <v>146</v>
      </c>
      <c r="C492" s="12"/>
      <c r="D492" s="13"/>
      <c r="E492" s="18"/>
      <c r="F492" s="18"/>
      <c r="G492" s="18"/>
      <c r="H492" s="22"/>
      <c r="I492" s="15"/>
      <c r="J492" s="15"/>
      <c r="K492" s="15"/>
      <c r="L492" s="15"/>
      <c r="M492" s="22"/>
      <c r="N492" s="22"/>
      <c r="O492" s="22"/>
      <c r="P492" s="19"/>
      <c r="Q492" s="19"/>
      <c r="R492" s="6"/>
      <c r="S492" s="6"/>
      <c r="T492" s="6"/>
      <c r="U492" s="6"/>
      <c r="V492" s="6"/>
      <c r="W492" s="6"/>
      <c r="X492" s="6"/>
      <c r="Y492" s="6"/>
      <c r="Z492" s="6"/>
      <c r="AA492" s="19"/>
      <c r="AB492" s="19"/>
      <c r="AC492" s="15"/>
      <c r="AD492" s="15"/>
      <c r="AE492" s="25"/>
      <c r="AF492" s="157">
        <f t="shared" si="217"/>
        <v>0</v>
      </c>
    </row>
    <row r="493" spans="1:32" s="51" customFormat="1" x14ac:dyDescent="0.25">
      <c r="A493" s="108" t="s">
        <v>147</v>
      </c>
      <c r="B493" s="88" t="s">
        <v>245</v>
      </c>
      <c r="C493" s="92"/>
      <c r="D493" s="93"/>
      <c r="E493" s="94"/>
      <c r="F493" s="94"/>
      <c r="G493" s="94"/>
      <c r="H493" s="99">
        <v>168306980</v>
      </c>
      <c r="I493" s="41"/>
      <c r="J493" s="20">
        <f>168306.98*1000</f>
        <v>168306980</v>
      </c>
      <c r="K493" s="20" t="s">
        <v>14</v>
      </c>
      <c r="L493" s="20">
        <f>H493-J493</f>
        <v>0</v>
      </c>
      <c r="M493" s="95">
        <v>1534959590</v>
      </c>
      <c r="N493" s="50">
        <f>SUM(O495:O560)-M493</f>
        <v>-12</v>
      </c>
      <c r="O493" s="95"/>
      <c r="P493" s="50"/>
      <c r="Q493" s="50"/>
      <c r="R493" s="50"/>
      <c r="S493" s="30"/>
      <c r="T493" s="30"/>
      <c r="U493" s="126"/>
      <c r="V493" s="126"/>
      <c r="W493" s="50"/>
      <c r="X493" s="30"/>
      <c r="Y493" s="30"/>
      <c r="Z493" s="30"/>
      <c r="AA493" s="50"/>
      <c r="AB493" s="50"/>
      <c r="AC493" s="20"/>
      <c r="AD493" s="20"/>
      <c r="AE493" s="97"/>
      <c r="AF493" s="157">
        <f t="shared" si="217"/>
        <v>0</v>
      </c>
    </row>
    <row r="494" spans="1:32" s="43" customFormat="1" x14ac:dyDescent="0.25">
      <c r="A494" s="23" t="s">
        <v>148</v>
      </c>
      <c r="B494" s="17" t="s">
        <v>149</v>
      </c>
      <c r="C494" s="231"/>
      <c r="D494" s="232"/>
      <c r="E494" s="14"/>
      <c r="F494" s="14"/>
      <c r="G494" s="14"/>
      <c r="H494" s="22"/>
      <c r="I494" s="15"/>
      <c r="J494" s="15"/>
      <c r="K494" s="15"/>
      <c r="L494" s="15"/>
      <c r="M494" s="22"/>
      <c r="N494" s="22"/>
      <c r="O494" s="22"/>
      <c r="P494" s="19"/>
      <c r="Q494" s="19"/>
      <c r="R494" s="6"/>
      <c r="S494" s="6"/>
      <c r="T494" s="6"/>
      <c r="U494" s="121"/>
      <c r="V494" s="121"/>
      <c r="W494" s="6"/>
      <c r="X494" s="6"/>
      <c r="Y494" s="6"/>
      <c r="Z494" s="6"/>
      <c r="AA494" s="19"/>
      <c r="AB494" s="19"/>
      <c r="AC494" s="15"/>
      <c r="AD494" s="15"/>
      <c r="AE494" s="25"/>
      <c r="AF494" s="157">
        <f t="shared" si="217"/>
        <v>0</v>
      </c>
    </row>
    <row r="495" spans="1:32" s="4" customFormat="1" x14ac:dyDescent="0.25">
      <c r="A495" s="64" t="s">
        <v>150</v>
      </c>
      <c r="B495" s="55" t="s">
        <v>113</v>
      </c>
      <c r="C495" s="16" t="s">
        <v>70</v>
      </c>
      <c r="D495" s="13">
        <f>110869+138426+807+2350+4635+14357+22088+11678+15330</f>
        <v>320540</v>
      </c>
      <c r="E495" s="14">
        <f t="shared" ref="E495:E506" si="331">H495/D495</f>
        <v>15.6</v>
      </c>
      <c r="F495" s="14"/>
      <c r="G495" s="14"/>
      <c r="H495" s="22">
        <v>4999647.95</v>
      </c>
      <c r="I495" s="15"/>
      <c r="J495" s="15"/>
      <c r="K495" s="15"/>
      <c r="L495" s="15"/>
      <c r="M495" s="22"/>
      <c r="N495" s="22"/>
      <c r="O495" s="22">
        <f>H495*9.12</f>
        <v>45596789</v>
      </c>
      <c r="P495" s="19">
        <f>O495*4.1%</f>
        <v>1869468</v>
      </c>
      <c r="Q495" s="19">
        <f>SUM(O495:P495)</f>
        <v>47466257</v>
      </c>
      <c r="R495" s="6">
        <f>Q495*0.7%</f>
        <v>332264</v>
      </c>
      <c r="S495" s="6"/>
      <c r="T495" s="6"/>
      <c r="U495" s="121">
        <f>Q495*$U$4</f>
        <v>231514</v>
      </c>
      <c r="V495" s="121">
        <f>Q495*$V$4</f>
        <v>53136</v>
      </c>
      <c r="W495" s="6"/>
      <c r="X495" s="6"/>
      <c r="Y495" s="6"/>
      <c r="Z495" s="6"/>
      <c r="AA495" s="19">
        <f>SUM(Q495:Z495)</f>
        <v>48083171</v>
      </c>
      <c r="AB495" s="19">
        <f>$AA495*AB$7</f>
        <v>51815387</v>
      </c>
      <c r="AC495" s="15">
        <f t="shared" ref="AC495:AC506" si="332">AB495/D495</f>
        <v>161.65</v>
      </c>
      <c r="AD495" s="15">
        <f t="shared" ref="AD495:AD506" si="333">AC495*D495</f>
        <v>51815291</v>
      </c>
      <c r="AE495" s="25"/>
      <c r="AF495" s="157">
        <f t="shared" si="217"/>
        <v>-96</v>
      </c>
    </row>
    <row r="496" spans="1:32" s="4" customFormat="1" x14ac:dyDescent="0.25">
      <c r="A496" s="64" t="s">
        <v>421</v>
      </c>
      <c r="B496" s="55" t="s">
        <v>422</v>
      </c>
      <c r="C496" s="16" t="s">
        <v>70</v>
      </c>
      <c r="D496" s="13">
        <f>735+210+7+20922+19522</f>
        <v>41396</v>
      </c>
      <c r="E496" s="14">
        <f t="shared" si="331"/>
        <v>146.12</v>
      </c>
      <c r="F496" s="14"/>
      <c r="G496" s="14"/>
      <c r="H496" s="22">
        <v>6048861</v>
      </c>
      <c r="I496" s="15"/>
      <c r="J496" s="15"/>
      <c r="K496" s="15"/>
      <c r="L496" s="15"/>
      <c r="M496" s="22"/>
      <c r="N496" s="22"/>
      <c r="O496" s="22">
        <f t="shared" ref="O496:O559" si="334">H496*9.12</f>
        <v>55165612</v>
      </c>
      <c r="P496" s="19">
        <f t="shared" ref="P496:P559" si="335">O496*4.1%</f>
        <v>2261790</v>
      </c>
      <c r="Q496" s="19">
        <f t="shared" ref="Q496:Q559" si="336">SUM(O496:P496)</f>
        <v>57427402</v>
      </c>
      <c r="R496" s="6">
        <f t="shared" ref="R496:R559" si="337">Q496*0.7%</f>
        <v>401992</v>
      </c>
      <c r="S496" s="6"/>
      <c r="T496" s="6"/>
      <c r="U496" s="121">
        <f t="shared" ref="U496:U559" si="338">Q496*$U$4</f>
        <v>280099</v>
      </c>
      <c r="V496" s="121">
        <f t="shared" ref="V496:V559" si="339">Q496*$V$4</f>
        <v>64287</v>
      </c>
      <c r="W496" s="6"/>
      <c r="X496" s="6"/>
      <c r="Y496" s="6"/>
      <c r="Z496" s="6"/>
      <c r="AA496" s="19">
        <f t="shared" ref="AA496:AA559" si="340">SUM(Q496:Z496)</f>
        <v>58173780</v>
      </c>
      <c r="AB496" s="19">
        <f t="shared" ref="AB496:AB559" si="341">$AA496*AB$7</f>
        <v>62689229</v>
      </c>
      <c r="AC496" s="15">
        <f t="shared" si="332"/>
        <v>1514.38</v>
      </c>
      <c r="AD496" s="15">
        <f t="shared" si="333"/>
        <v>62689274.479999997</v>
      </c>
      <c r="AE496" s="25"/>
      <c r="AF496" s="157">
        <f t="shared" si="217"/>
        <v>45.48</v>
      </c>
    </row>
    <row r="497" spans="1:32" s="4" customFormat="1" x14ac:dyDescent="0.25">
      <c r="A497" s="64" t="s">
        <v>423</v>
      </c>
      <c r="B497" s="55" t="s">
        <v>391</v>
      </c>
      <c r="C497" s="16" t="s">
        <v>70</v>
      </c>
      <c r="D497" s="13">
        <f>249160+124580+5486+2743+51016+25508</f>
        <v>458493</v>
      </c>
      <c r="E497" s="14">
        <f t="shared" si="331"/>
        <v>113.42</v>
      </c>
      <c r="F497" s="14"/>
      <c r="G497" s="14"/>
      <c r="H497" s="22">
        <v>52000705</v>
      </c>
      <c r="I497" s="15"/>
      <c r="J497" s="15"/>
      <c r="K497" s="15"/>
      <c r="L497" s="15"/>
      <c r="M497" s="22"/>
      <c r="N497" s="22"/>
      <c r="O497" s="22">
        <f t="shared" si="334"/>
        <v>474246430</v>
      </c>
      <c r="P497" s="19">
        <f t="shared" si="335"/>
        <v>19444104</v>
      </c>
      <c r="Q497" s="19">
        <f t="shared" si="336"/>
        <v>493690534</v>
      </c>
      <c r="R497" s="6">
        <f t="shared" si="337"/>
        <v>3455834</v>
      </c>
      <c r="S497" s="6"/>
      <c r="T497" s="6"/>
      <c r="U497" s="121">
        <f t="shared" si="338"/>
        <v>2407944</v>
      </c>
      <c r="V497" s="121">
        <f t="shared" si="339"/>
        <v>552663</v>
      </c>
      <c r="W497" s="6"/>
      <c r="X497" s="6"/>
      <c r="Y497" s="6"/>
      <c r="Z497" s="6"/>
      <c r="AA497" s="19">
        <f t="shared" si="340"/>
        <v>500106975</v>
      </c>
      <c r="AB497" s="19">
        <f t="shared" si="341"/>
        <v>538925278</v>
      </c>
      <c r="AC497" s="15">
        <f t="shared" si="332"/>
        <v>1175.43</v>
      </c>
      <c r="AD497" s="15">
        <f t="shared" si="333"/>
        <v>538926426.99000001</v>
      </c>
      <c r="AE497" s="25"/>
      <c r="AF497" s="157">
        <f t="shared" si="217"/>
        <v>1148.99</v>
      </c>
    </row>
    <row r="498" spans="1:32" s="4" customFormat="1" x14ac:dyDescent="0.25">
      <c r="A498" s="64" t="s">
        <v>424</v>
      </c>
      <c r="B498" s="55" t="s">
        <v>392</v>
      </c>
      <c r="C498" s="16" t="s">
        <v>70</v>
      </c>
      <c r="D498" s="13">
        <f>78678+13903+17755+47930+33111+19522</f>
        <v>210899</v>
      </c>
      <c r="E498" s="14">
        <f t="shared" si="331"/>
        <v>176.93</v>
      </c>
      <c r="F498" s="14"/>
      <c r="G498" s="14"/>
      <c r="H498" s="22">
        <v>37313437</v>
      </c>
      <c r="I498" s="15"/>
      <c r="J498" s="15"/>
      <c r="K498" s="15"/>
      <c r="L498" s="15"/>
      <c r="M498" s="22"/>
      <c r="N498" s="22"/>
      <c r="O498" s="22">
        <f t="shared" si="334"/>
        <v>340298545</v>
      </c>
      <c r="P498" s="19">
        <f t="shared" si="335"/>
        <v>13952240</v>
      </c>
      <c r="Q498" s="19">
        <f t="shared" si="336"/>
        <v>354250785</v>
      </c>
      <c r="R498" s="6">
        <f t="shared" si="337"/>
        <v>2479755</v>
      </c>
      <c r="S498" s="6"/>
      <c r="T498" s="6"/>
      <c r="U498" s="121">
        <f t="shared" si="338"/>
        <v>1727836</v>
      </c>
      <c r="V498" s="121">
        <f t="shared" si="339"/>
        <v>396567</v>
      </c>
      <c r="W498" s="6"/>
      <c r="X498" s="6"/>
      <c r="Y498" s="6"/>
      <c r="Z498" s="6"/>
      <c r="AA498" s="19">
        <f t="shared" si="340"/>
        <v>358854943</v>
      </c>
      <c r="AB498" s="19">
        <f t="shared" si="341"/>
        <v>386709264</v>
      </c>
      <c r="AC498" s="15">
        <f t="shared" si="332"/>
        <v>1833.62</v>
      </c>
      <c r="AD498" s="15">
        <f t="shared" si="333"/>
        <v>386708624.38</v>
      </c>
      <c r="AE498" s="25"/>
      <c r="AF498" s="157">
        <f t="shared" si="217"/>
        <v>-639.62</v>
      </c>
    </row>
    <row r="499" spans="1:32" s="4" customFormat="1" x14ac:dyDescent="0.25">
      <c r="A499" s="64" t="s">
        <v>425</v>
      </c>
      <c r="B499" s="55" t="s">
        <v>394</v>
      </c>
      <c r="C499" s="16" t="s">
        <v>72</v>
      </c>
      <c r="D499" s="13">
        <f>50640</f>
        <v>50640</v>
      </c>
      <c r="E499" s="14">
        <f t="shared" si="331"/>
        <v>102.68</v>
      </c>
      <c r="F499" s="14"/>
      <c r="G499" s="14"/>
      <c r="H499" s="22">
        <v>5199731</v>
      </c>
      <c r="I499" s="15"/>
      <c r="J499" s="15"/>
      <c r="K499" s="15"/>
      <c r="L499" s="15"/>
      <c r="M499" s="22"/>
      <c r="N499" s="22"/>
      <c r="O499" s="22">
        <f t="shared" si="334"/>
        <v>47421547</v>
      </c>
      <c r="P499" s="19">
        <f t="shared" si="335"/>
        <v>1944283</v>
      </c>
      <c r="Q499" s="19">
        <f t="shared" si="336"/>
        <v>49365830</v>
      </c>
      <c r="R499" s="6">
        <f t="shared" si="337"/>
        <v>345561</v>
      </c>
      <c r="S499" s="6"/>
      <c r="T499" s="6"/>
      <c r="U499" s="121">
        <f t="shared" si="338"/>
        <v>240779</v>
      </c>
      <c r="V499" s="121">
        <f t="shared" si="339"/>
        <v>55263</v>
      </c>
      <c r="W499" s="6"/>
      <c r="X499" s="6"/>
      <c r="Y499" s="6"/>
      <c r="Z499" s="6"/>
      <c r="AA499" s="19">
        <f t="shared" si="340"/>
        <v>50007433</v>
      </c>
      <c r="AB499" s="19">
        <f t="shared" si="341"/>
        <v>53889010</v>
      </c>
      <c r="AC499" s="15">
        <f t="shared" si="332"/>
        <v>1064.1600000000001</v>
      </c>
      <c r="AD499" s="15">
        <f t="shared" si="333"/>
        <v>53889062.399999999</v>
      </c>
      <c r="AE499" s="25"/>
      <c r="AF499" s="157">
        <f t="shared" si="217"/>
        <v>52.4</v>
      </c>
    </row>
    <row r="500" spans="1:32" s="4" customFormat="1" x14ac:dyDescent="0.25">
      <c r="A500" s="64" t="s">
        <v>426</v>
      </c>
      <c r="B500" s="55" t="s">
        <v>395</v>
      </c>
      <c r="C500" s="16" t="s">
        <v>72</v>
      </c>
      <c r="D500" s="13">
        <f>51847+31006+245</f>
        <v>83098</v>
      </c>
      <c r="E500" s="14">
        <f t="shared" si="331"/>
        <v>27.61</v>
      </c>
      <c r="F500" s="14"/>
      <c r="G500" s="14"/>
      <c r="H500" s="22">
        <v>2294716</v>
      </c>
      <c r="I500" s="15"/>
      <c r="J500" s="15"/>
      <c r="K500" s="15"/>
      <c r="L500" s="15"/>
      <c r="M500" s="22"/>
      <c r="N500" s="22"/>
      <c r="O500" s="22">
        <f t="shared" si="334"/>
        <v>20927810</v>
      </c>
      <c r="P500" s="19">
        <f t="shared" si="335"/>
        <v>858040</v>
      </c>
      <c r="Q500" s="19">
        <f t="shared" si="336"/>
        <v>21785850</v>
      </c>
      <c r="R500" s="6">
        <f t="shared" si="337"/>
        <v>152501</v>
      </c>
      <c r="S500" s="6"/>
      <c r="T500" s="6"/>
      <c r="U500" s="121">
        <f t="shared" si="338"/>
        <v>106259</v>
      </c>
      <c r="V500" s="121">
        <f t="shared" si="339"/>
        <v>24388</v>
      </c>
      <c r="W500" s="6"/>
      <c r="X500" s="6"/>
      <c r="Y500" s="6"/>
      <c r="Z500" s="6"/>
      <c r="AA500" s="19">
        <f t="shared" si="340"/>
        <v>22068998</v>
      </c>
      <c r="AB500" s="19">
        <f t="shared" si="341"/>
        <v>23781994</v>
      </c>
      <c r="AC500" s="15">
        <f t="shared" si="332"/>
        <v>286.19</v>
      </c>
      <c r="AD500" s="15">
        <f t="shared" si="333"/>
        <v>23781816.620000001</v>
      </c>
      <c r="AE500" s="25"/>
      <c r="AF500" s="157">
        <f t="shared" si="217"/>
        <v>-177.38</v>
      </c>
    </row>
    <row r="501" spans="1:32" s="4" customFormat="1" x14ac:dyDescent="0.25">
      <c r="A501" s="64" t="s">
        <v>427</v>
      </c>
      <c r="B501" s="55" t="s">
        <v>396</v>
      </c>
      <c r="C501" s="16" t="s">
        <v>72</v>
      </c>
      <c r="D501" s="13">
        <f>1361+59</f>
        <v>1420</v>
      </c>
      <c r="E501" s="14">
        <f t="shared" si="331"/>
        <v>76.290000000000006</v>
      </c>
      <c r="F501" s="14"/>
      <c r="G501" s="14"/>
      <c r="H501" s="22">
        <v>108336</v>
      </c>
      <c r="I501" s="15"/>
      <c r="J501" s="15"/>
      <c r="K501" s="15"/>
      <c r="L501" s="15"/>
      <c r="M501" s="22"/>
      <c r="N501" s="22"/>
      <c r="O501" s="22">
        <f t="shared" si="334"/>
        <v>988024</v>
      </c>
      <c r="P501" s="19">
        <f t="shared" si="335"/>
        <v>40509</v>
      </c>
      <c r="Q501" s="19">
        <f t="shared" si="336"/>
        <v>1028533</v>
      </c>
      <c r="R501" s="6">
        <f t="shared" si="337"/>
        <v>7200</v>
      </c>
      <c r="S501" s="6"/>
      <c r="T501" s="6"/>
      <c r="U501" s="121">
        <f t="shared" si="338"/>
        <v>5017</v>
      </c>
      <c r="V501" s="121">
        <f t="shared" si="339"/>
        <v>1151</v>
      </c>
      <c r="W501" s="6"/>
      <c r="X501" s="6"/>
      <c r="Y501" s="6"/>
      <c r="Z501" s="6"/>
      <c r="AA501" s="19">
        <f t="shared" si="340"/>
        <v>1041901</v>
      </c>
      <c r="AB501" s="19">
        <f t="shared" si="341"/>
        <v>1122773</v>
      </c>
      <c r="AC501" s="15">
        <f t="shared" si="332"/>
        <v>790.69</v>
      </c>
      <c r="AD501" s="15">
        <f t="shared" si="333"/>
        <v>1122779.8</v>
      </c>
      <c r="AE501" s="25"/>
      <c r="AF501" s="157">
        <f t="shared" si="217"/>
        <v>6.8</v>
      </c>
    </row>
    <row r="502" spans="1:32" s="4" customFormat="1" x14ac:dyDescent="0.25">
      <c r="A502" s="64" t="s">
        <v>428</v>
      </c>
      <c r="B502" s="55" t="s">
        <v>397</v>
      </c>
      <c r="C502" s="16" t="s">
        <v>72</v>
      </c>
      <c r="D502" s="13">
        <f>9168+147</f>
        <v>9315</v>
      </c>
      <c r="E502" s="14">
        <f t="shared" si="331"/>
        <v>154.74</v>
      </c>
      <c r="F502" s="14"/>
      <c r="G502" s="14"/>
      <c r="H502" s="22">
        <v>1441438</v>
      </c>
      <c r="I502" s="15"/>
      <c r="J502" s="15"/>
      <c r="K502" s="15"/>
      <c r="L502" s="15"/>
      <c r="M502" s="22"/>
      <c r="N502" s="22"/>
      <c r="O502" s="22">
        <f t="shared" si="334"/>
        <v>13145915</v>
      </c>
      <c r="P502" s="19">
        <f t="shared" si="335"/>
        <v>538983</v>
      </c>
      <c r="Q502" s="19">
        <f t="shared" si="336"/>
        <v>13684898</v>
      </c>
      <c r="R502" s="6">
        <f t="shared" si="337"/>
        <v>95794</v>
      </c>
      <c r="S502" s="6"/>
      <c r="T502" s="6"/>
      <c r="U502" s="121">
        <f t="shared" si="338"/>
        <v>66747</v>
      </c>
      <c r="V502" s="121">
        <f t="shared" si="339"/>
        <v>15320</v>
      </c>
      <c r="W502" s="6"/>
      <c r="X502" s="6"/>
      <c r="Y502" s="6"/>
      <c r="Z502" s="6"/>
      <c r="AA502" s="19">
        <f t="shared" si="340"/>
        <v>13862759</v>
      </c>
      <c r="AB502" s="19">
        <f t="shared" si="341"/>
        <v>14938786</v>
      </c>
      <c r="AC502" s="15">
        <f t="shared" si="332"/>
        <v>1603.73</v>
      </c>
      <c r="AD502" s="15">
        <f t="shared" si="333"/>
        <v>14938744.949999999</v>
      </c>
      <c r="AE502" s="25"/>
      <c r="AF502" s="157">
        <f t="shared" si="217"/>
        <v>-41.05</v>
      </c>
    </row>
    <row r="503" spans="1:32" s="4" customFormat="1" x14ac:dyDescent="0.25">
      <c r="A503" s="64" t="s">
        <v>429</v>
      </c>
      <c r="B503" s="55" t="s">
        <v>398</v>
      </c>
      <c r="C503" s="16" t="s">
        <v>72</v>
      </c>
      <c r="D503" s="13">
        <v>36</v>
      </c>
      <c r="E503" s="14">
        <f t="shared" si="331"/>
        <v>390.75</v>
      </c>
      <c r="F503" s="14"/>
      <c r="G503" s="14"/>
      <c r="H503" s="22">
        <v>14067</v>
      </c>
      <c r="I503" s="15"/>
      <c r="J503" s="15"/>
      <c r="K503" s="15"/>
      <c r="L503" s="15"/>
      <c r="M503" s="22"/>
      <c r="N503" s="22"/>
      <c r="O503" s="22">
        <f t="shared" si="334"/>
        <v>128291</v>
      </c>
      <c r="P503" s="19">
        <f t="shared" si="335"/>
        <v>5260</v>
      </c>
      <c r="Q503" s="19">
        <f t="shared" si="336"/>
        <v>133551</v>
      </c>
      <c r="R503" s="6">
        <f t="shared" si="337"/>
        <v>935</v>
      </c>
      <c r="S503" s="6"/>
      <c r="T503" s="6"/>
      <c r="U503" s="121">
        <f t="shared" si="338"/>
        <v>651</v>
      </c>
      <c r="V503" s="121">
        <f t="shared" si="339"/>
        <v>150</v>
      </c>
      <c r="W503" s="6"/>
      <c r="X503" s="6"/>
      <c r="Y503" s="6"/>
      <c r="Z503" s="6"/>
      <c r="AA503" s="19">
        <f t="shared" si="340"/>
        <v>135287</v>
      </c>
      <c r="AB503" s="19">
        <f t="shared" si="341"/>
        <v>145788</v>
      </c>
      <c r="AC503" s="15">
        <f t="shared" si="332"/>
        <v>4049.67</v>
      </c>
      <c r="AD503" s="15">
        <f t="shared" si="333"/>
        <v>145788.12</v>
      </c>
      <c r="AE503" s="25"/>
      <c r="AF503" s="157">
        <f t="shared" si="217"/>
        <v>0.12</v>
      </c>
    </row>
    <row r="504" spans="1:32" s="4" customFormat="1" x14ac:dyDescent="0.25">
      <c r="A504" s="64" t="s">
        <v>430</v>
      </c>
      <c r="B504" s="55" t="s">
        <v>399</v>
      </c>
      <c r="C504" s="16" t="s">
        <v>360</v>
      </c>
      <c r="D504" s="13">
        <v>231.9</v>
      </c>
      <c r="E504" s="14">
        <f t="shared" si="331"/>
        <v>1310.21</v>
      </c>
      <c r="F504" s="14"/>
      <c r="G504" s="14"/>
      <c r="H504" s="22">
        <v>303836.58</v>
      </c>
      <c r="I504" s="15"/>
      <c r="J504" s="15"/>
      <c r="K504" s="15"/>
      <c r="L504" s="15"/>
      <c r="M504" s="22"/>
      <c r="N504" s="22"/>
      <c r="O504" s="22">
        <f t="shared" si="334"/>
        <v>2770990</v>
      </c>
      <c r="P504" s="19">
        <f t="shared" si="335"/>
        <v>113611</v>
      </c>
      <c r="Q504" s="19">
        <f t="shared" si="336"/>
        <v>2884601</v>
      </c>
      <c r="R504" s="6">
        <f t="shared" si="337"/>
        <v>20192</v>
      </c>
      <c r="S504" s="6"/>
      <c r="T504" s="6"/>
      <c r="U504" s="121">
        <f t="shared" si="338"/>
        <v>14069</v>
      </c>
      <c r="V504" s="121">
        <f t="shared" si="339"/>
        <v>3229</v>
      </c>
      <c r="W504" s="6"/>
      <c r="X504" s="6"/>
      <c r="Y504" s="6"/>
      <c r="Z504" s="6"/>
      <c r="AA504" s="19">
        <f t="shared" si="340"/>
        <v>2922091</v>
      </c>
      <c r="AB504" s="19">
        <f t="shared" si="341"/>
        <v>3148904</v>
      </c>
      <c r="AC504" s="15">
        <f t="shared" si="332"/>
        <v>13578.71</v>
      </c>
      <c r="AD504" s="15">
        <f t="shared" si="333"/>
        <v>3148902.85</v>
      </c>
      <c r="AE504" s="25"/>
      <c r="AF504" s="157">
        <f t="shared" si="217"/>
        <v>-1.1499999999999999</v>
      </c>
    </row>
    <row r="505" spans="1:32" s="4" customFormat="1" x14ac:dyDescent="0.25">
      <c r="A505" s="64" t="s">
        <v>431</v>
      </c>
      <c r="B505" s="55" t="s">
        <v>432</v>
      </c>
      <c r="C505" s="16" t="s">
        <v>67</v>
      </c>
      <c r="D505" s="13">
        <v>7</v>
      </c>
      <c r="E505" s="14">
        <f t="shared" si="331"/>
        <v>2954.56</v>
      </c>
      <c r="F505" s="14"/>
      <c r="G505" s="14"/>
      <c r="H505" s="22">
        <v>20681.95</v>
      </c>
      <c r="I505" s="15"/>
      <c r="J505" s="15"/>
      <c r="K505" s="15"/>
      <c r="L505" s="15"/>
      <c r="M505" s="22"/>
      <c r="N505" s="22"/>
      <c r="O505" s="22">
        <f t="shared" si="334"/>
        <v>188619</v>
      </c>
      <c r="P505" s="19">
        <f t="shared" si="335"/>
        <v>7733</v>
      </c>
      <c r="Q505" s="19">
        <f t="shared" si="336"/>
        <v>196352</v>
      </c>
      <c r="R505" s="6">
        <f t="shared" si="337"/>
        <v>1374</v>
      </c>
      <c r="S505" s="6"/>
      <c r="T505" s="6"/>
      <c r="U505" s="121">
        <f t="shared" si="338"/>
        <v>958</v>
      </c>
      <c r="V505" s="121">
        <f t="shared" si="339"/>
        <v>220</v>
      </c>
      <c r="W505" s="6"/>
      <c r="X505" s="6"/>
      <c r="Y505" s="6"/>
      <c r="Z505" s="6"/>
      <c r="AA505" s="19">
        <f t="shared" si="340"/>
        <v>198904</v>
      </c>
      <c r="AB505" s="19">
        <f t="shared" si="341"/>
        <v>214343</v>
      </c>
      <c r="AC505" s="15">
        <f t="shared" si="332"/>
        <v>30620.43</v>
      </c>
      <c r="AD505" s="15">
        <f t="shared" si="333"/>
        <v>214343.01</v>
      </c>
      <c r="AE505" s="25"/>
      <c r="AF505" s="157">
        <f t="shared" si="217"/>
        <v>0.01</v>
      </c>
    </row>
    <row r="506" spans="1:32" s="4" customFormat="1" x14ac:dyDescent="0.25">
      <c r="A506" s="64" t="s">
        <v>433</v>
      </c>
      <c r="B506" s="55" t="s">
        <v>434</v>
      </c>
      <c r="C506" s="16" t="s">
        <v>72</v>
      </c>
      <c r="D506" s="13">
        <v>56302</v>
      </c>
      <c r="E506" s="14">
        <f t="shared" si="331"/>
        <v>147.01</v>
      </c>
      <c r="F506" s="14"/>
      <c r="G506" s="14"/>
      <c r="H506" s="22">
        <v>8276978</v>
      </c>
      <c r="I506" s="15"/>
      <c r="J506" s="15"/>
      <c r="K506" s="15"/>
      <c r="L506" s="15"/>
      <c r="M506" s="22"/>
      <c r="N506" s="22"/>
      <c r="O506" s="22">
        <f t="shared" si="334"/>
        <v>75486039</v>
      </c>
      <c r="P506" s="19">
        <f t="shared" si="335"/>
        <v>3094928</v>
      </c>
      <c r="Q506" s="19">
        <f t="shared" si="336"/>
        <v>78580967</v>
      </c>
      <c r="R506" s="6">
        <f t="shared" si="337"/>
        <v>550067</v>
      </c>
      <c r="S506" s="6"/>
      <c r="T506" s="6"/>
      <c r="U506" s="121">
        <f t="shared" si="338"/>
        <v>383274</v>
      </c>
      <c r="V506" s="121">
        <f t="shared" si="339"/>
        <v>87968</v>
      </c>
      <c r="W506" s="6"/>
      <c r="X506" s="6"/>
      <c r="Y506" s="6"/>
      <c r="Z506" s="6"/>
      <c r="AA506" s="19">
        <f t="shared" si="340"/>
        <v>79602276</v>
      </c>
      <c r="AB506" s="19">
        <f t="shared" si="341"/>
        <v>85781005</v>
      </c>
      <c r="AC506" s="15">
        <f t="shared" si="332"/>
        <v>1523.59</v>
      </c>
      <c r="AD506" s="15">
        <f t="shared" si="333"/>
        <v>85781164.180000007</v>
      </c>
      <c r="AE506" s="25"/>
      <c r="AF506" s="157">
        <f t="shared" si="217"/>
        <v>159.18</v>
      </c>
    </row>
    <row r="507" spans="1:32" s="43" customFormat="1" x14ac:dyDescent="0.25">
      <c r="A507" s="23" t="s">
        <v>435</v>
      </c>
      <c r="B507" s="17" t="s">
        <v>436</v>
      </c>
      <c r="C507" s="231"/>
      <c r="D507" s="232"/>
      <c r="E507" s="14"/>
      <c r="F507" s="14"/>
      <c r="G507" s="14"/>
      <c r="H507" s="22"/>
      <c r="I507" s="15"/>
      <c r="J507" s="15"/>
      <c r="K507" s="15"/>
      <c r="L507" s="15"/>
      <c r="M507" s="22"/>
      <c r="N507" s="22"/>
      <c r="O507" s="22"/>
      <c r="P507" s="19"/>
      <c r="Q507" s="19"/>
      <c r="R507" s="6"/>
      <c r="S507" s="6"/>
      <c r="T507" s="6"/>
      <c r="U507" s="121"/>
      <c r="V507" s="121"/>
      <c r="W507" s="6"/>
      <c r="X507" s="6"/>
      <c r="Y507" s="6"/>
      <c r="Z507" s="6"/>
      <c r="AA507" s="19"/>
      <c r="AB507" s="19"/>
      <c r="AC507" s="15"/>
      <c r="AD507" s="15"/>
      <c r="AE507" s="25"/>
      <c r="AF507" s="157">
        <f t="shared" si="217"/>
        <v>0</v>
      </c>
    </row>
    <row r="508" spans="1:32" s="4" customFormat="1" ht="25.5" x14ac:dyDescent="0.25">
      <c r="A508" s="64" t="s">
        <v>437</v>
      </c>
      <c r="B508" s="55" t="s">
        <v>438</v>
      </c>
      <c r="C508" s="16" t="s">
        <v>72</v>
      </c>
      <c r="D508" s="13">
        <v>28553</v>
      </c>
      <c r="E508" s="14">
        <f t="shared" ref="E508:E539" si="342">H508/D508</f>
        <v>177.32</v>
      </c>
      <c r="F508" s="14"/>
      <c r="G508" s="14"/>
      <c r="H508" s="22">
        <v>5063146</v>
      </c>
      <c r="I508" s="15"/>
      <c r="J508" s="15"/>
      <c r="K508" s="15"/>
      <c r="L508" s="15"/>
      <c r="M508" s="22"/>
      <c r="N508" s="22"/>
      <c r="O508" s="22">
        <f t="shared" si="334"/>
        <v>46175892</v>
      </c>
      <c r="P508" s="19">
        <f t="shared" si="335"/>
        <v>1893212</v>
      </c>
      <c r="Q508" s="19">
        <f t="shared" si="336"/>
        <v>48069104</v>
      </c>
      <c r="R508" s="6">
        <f t="shared" si="337"/>
        <v>336484</v>
      </c>
      <c r="S508" s="6"/>
      <c r="T508" s="6"/>
      <c r="U508" s="121">
        <f t="shared" si="338"/>
        <v>234454</v>
      </c>
      <c r="V508" s="121">
        <f t="shared" si="339"/>
        <v>53811</v>
      </c>
      <c r="W508" s="6"/>
      <c r="X508" s="6"/>
      <c r="Y508" s="6"/>
      <c r="Z508" s="6"/>
      <c r="AA508" s="19">
        <f t="shared" si="340"/>
        <v>48693853</v>
      </c>
      <c r="AB508" s="19">
        <f t="shared" si="341"/>
        <v>52473470</v>
      </c>
      <c r="AC508" s="15">
        <f t="shared" ref="AC508:AC539" si="343">AB508/D508</f>
        <v>1837.76</v>
      </c>
      <c r="AD508" s="15">
        <f t="shared" ref="AD508:AD539" si="344">AC508*D508</f>
        <v>52473561.280000001</v>
      </c>
      <c r="AE508" s="25"/>
      <c r="AF508" s="157">
        <f t="shared" si="217"/>
        <v>91.28</v>
      </c>
    </row>
    <row r="509" spans="1:32" s="4" customFormat="1" ht="25.5" x14ac:dyDescent="0.25">
      <c r="A509" s="64" t="s">
        <v>439</v>
      </c>
      <c r="B509" s="55" t="s">
        <v>440</v>
      </c>
      <c r="C509" s="16" t="s">
        <v>72</v>
      </c>
      <c r="D509" s="13">
        <v>41768</v>
      </c>
      <c r="E509" s="14">
        <f t="shared" si="342"/>
        <v>195.14</v>
      </c>
      <c r="F509" s="14"/>
      <c r="G509" s="14"/>
      <c r="H509" s="22">
        <v>8150604</v>
      </c>
      <c r="I509" s="15"/>
      <c r="J509" s="15"/>
      <c r="K509" s="15"/>
      <c r="L509" s="15"/>
      <c r="M509" s="22"/>
      <c r="N509" s="22"/>
      <c r="O509" s="22">
        <f t="shared" si="334"/>
        <v>74333508</v>
      </c>
      <c r="P509" s="19">
        <f t="shared" si="335"/>
        <v>3047674</v>
      </c>
      <c r="Q509" s="19">
        <f t="shared" si="336"/>
        <v>77381182</v>
      </c>
      <c r="R509" s="6">
        <f t="shared" si="337"/>
        <v>541668</v>
      </c>
      <c r="S509" s="6"/>
      <c r="T509" s="6"/>
      <c r="U509" s="121">
        <f t="shared" si="338"/>
        <v>377422</v>
      </c>
      <c r="V509" s="121">
        <f t="shared" si="339"/>
        <v>86625</v>
      </c>
      <c r="W509" s="6"/>
      <c r="X509" s="6"/>
      <c r="Y509" s="6"/>
      <c r="Z509" s="6"/>
      <c r="AA509" s="19">
        <f t="shared" si="340"/>
        <v>78386897</v>
      </c>
      <c r="AB509" s="19">
        <f t="shared" si="341"/>
        <v>84471288</v>
      </c>
      <c r="AC509" s="15">
        <f t="shared" si="343"/>
        <v>2022.39</v>
      </c>
      <c r="AD509" s="15">
        <f t="shared" si="344"/>
        <v>84471185.519999996</v>
      </c>
      <c r="AE509" s="25"/>
      <c r="AF509" s="157">
        <f t="shared" si="217"/>
        <v>-102.48</v>
      </c>
    </row>
    <row r="510" spans="1:32" s="4" customFormat="1" ht="25.5" x14ac:dyDescent="0.25">
      <c r="A510" s="64" t="s">
        <v>441</v>
      </c>
      <c r="B510" s="55" t="s">
        <v>442</v>
      </c>
      <c r="C510" s="16" t="s">
        <v>72</v>
      </c>
      <c r="D510" s="13">
        <v>2988</v>
      </c>
      <c r="E510" s="14">
        <f t="shared" si="342"/>
        <v>210.6</v>
      </c>
      <c r="F510" s="14"/>
      <c r="G510" s="14"/>
      <c r="H510" s="22">
        <v>629275</v>
      </c>
      <c r="I510" s="15"/>
      <c r="J510" s="15"/>
      <c r="K510" s="15"/>
      <c r="L510" s="15"/>
      <c r="M510" s="22"/>
      <c r="N510" s="22"/>
      <c r="O510" s="22">
        <f t="shared" si="334"/>
        <v>5738988</v>
      </c>
      <c r="P510" s="19">
        <f t="shared" si="335"/>
        <v>235299</v>
      </c>
      <c r="Q510" s="19">
        <f t="shared" si="336"/>
        <v>5974287</v>
      </c>
      <c r="R510" s="6">
        <f t="shared" si="337"/>
        <v>41820</v>
      </c>
      <c r="S510" s="6"/>
      <c r="T510" s="6"/>
      <c r="U510" s="121">
        <f t="shared" si="338"/>
        <v>29139</v>
      </c>
      <c r="V510" s="121">
        <f t="shared" si="339"/>
        <v>6688</v>
      </c>
      <c r="W510" s="6"/>
      <c r="X510" s="6"/>
      <c r="Y510" s="6"/>
      <c r="Z510" s="6"/>
      <c r="AA510" s="19">
        <f t="shared" si="340"/>
        <v>6051934</v>
      </c>
      <c r="AB510" s="19">
        <f t="shared" si="341"/>
        <v>6521685</v>
      </c>
      <c r="AC510" s="15">
        <f t="shared" si="343"/>
        <v>2182.63</v>
      </c>
      <c r="AD510" s="15">
        <f t="shared" si="344"/>
        <v>6521698.4400000004</v>
      </c>
      <c r="AE510" s="25"/>
      <c r="AF510" s="157">
        <f t="shared" si="217"/>
        <v>13.44</v>
      </c>
    </row>
    <row r="511" spans="1:32" s="4" customFormat="1" ht="25.5" x14ac:dyDescent="0.25">
      <c r="A511" s="64" t="s">
        <v>443</v>
      </c>
      <c r="B511" s="55" t="s">
        <v>402</v>
      </c>
      <c r="C511" s="16" t="s">
        <v>72</v>
      </c>
      <c r="D511" s="13">
        <v>28286</v>
      </c>
      <c r="E511" s="14">
        <f t="shared" si="342"/>
        <v>289.64</v>
      </c>
      <c r="F511" s="14"/>
      <c r="G511" s="14"/>
      <c r="H511" s="22">
        <v>8192765</v>
      </c>
      <c r="I511" s="15"/>
      <c r="J511" s="15"/>
      <c r="K511" s="15"/>
      <c r="L511" s="15"/>
      <c r="M511" s="22"/>
      <c r="N511" s="22"/>
      <c r="O511" s="22">
        <f t="shared" si="334"/>
        <v>74718017</v>
      </c>
      <c r="P511" s="19">
        <f t="shared" si="335"/>
        <v>3063439</v>
      </c>
      <c r="Q511" s="19">
        <f t="shared" si="336"/>
        <v>77781456</v>
      </c>
      <c r="R511" s="6">
        <f t="shared" si="337"/>
        <v>544470</v>
      </c>
      <c r="S511" s="6"/>
      <c r="T511" s="6"/>
      <c r="U511" s="121">
        <f t="shared" si="338"/>
        <v>379374</v>
      </c>
      <c r="V511" s="121">
        <f t="shared" si="339"/>
        <v>87073</v>
      </c>
      <c r="W511" s="6"/>
      <c r="X511" s="6"/>
      <c r="Y511" s="6"/>
      <c r="Z511" s="6"/>
      <c r="AA511" s="19">
        <f t="shared" si="340"/>
        <v>78792373</v>
      </c>
      <c r="AB511" s="19">
        <f t="shared" si="341"/>
        <v>84908237</v>
      </c>
      <c r="AC511" s="15">
        <f t="shared" si="343"/>
        <v>3001.78</v>
      </c>
      <c r="AD511" s="15">
        <f t="shared" si="344"/>
        <v>84908349.079999998</v>
      </c>
      <c r="AE511" s="25"/>
      <c r="AF511" s="157">
        <f t="shared" si="217"/>
        <v>112.08</v>
      </c>
    </row>
    <row r="512" spans="1:32" s="4" customFormat="1" ht="25.5" x14ac:dyDescent="0.25">
      <c r="A512" s="64" t="s">
        <v>444</v>
      </c>
      <c r="B512" s="55" t="s">
        <v>445</v>
      </c>
      <c r="C512" s="16" t="s">
        <v>72</v>
      </c>
      <c r="D512" s="13">
        <v>15760</v>
      </c>
      <c r="E512" s="14">
        <f t="shared" si="342"/>
        <v>180.06</v>
      </c>
      <c r="F512" s="14"/>
      <c r="G512" s="14"/>
      <c r="H512" s="22">
        <v>2837721</v>
      </c>
      <c r="I512" s="15"/>
      <c r="J512" s="15"/>
      <c r="K512" s="15"/>
      <c r="L512" s="15"/>
      <c r="M512" s="22"/>
      <c r="N512" s="22"/>
      <c r="O512" s="22">
        <f t="shared" si="334"/>
        <v>25880016</v>
      </c>
      <c r="P512" s="19">
        <f t="shared" si="335"/>
        <v>1061081</v>
      </c>
      <c r="Q512" s="19">
        <f t="shared" si="336"/>
        <v>26941097</v>
      </c>
      <c r="R512" s="6">
        <f t="shared" si="337"/>
        <v>188588</v>
      </c>
      <c r="S512" s="6"/>
      <c r="T512" s="6"/>
      <c r="U512" s="121">
        <f t="shared" si="338"/>
        <v>131404</v>
      </c>
      <c r="V512" s="121">
        <f t="shared" si="339"/>
        <v>30159</v>
      </c>
      <c r="W512" s="6"/>
      <c r="X512" s="6"/>
      <c r="Y512" s="6"/>
      <c r="Z512" s="6"/>
      <c r="AA512" s="19">
        <f t="shared" si="340"/>
        <v>27291248</v>
      </c>
      <c r="AB512" s="19">
        <f t="shared" si="341"/>
        <v>29409595</v>
      </c>
      <c r="AC512" s="15">
        <f t="shared" si="343"/>
        <v>1866.09</v>
      </c>
      <c r="AD512" s="15">
        <f t="shared" si="344"/>
        <v>29409578.399999999</v>
      </c>
      <c r="AE512" s="25"/>
      <c r="AF512" s="157">
        <f t="shared" ref="AF512:AF575" si="345">AD512-AB512</f>
        <v>-16.600000000000001</v>
      </c>
    </row>
    <row r="513" spans="1:32" s="4" customFormat="1" ht="25.5" x14ac:dyDescent="0.25">
      <c r="A513" s="64" t="s">
        <v>446</v>
      </c>
      <c r="B513" s="55" t="s">
        <v>447</v>
      </c>
      <c r="C513" s="16" t="s">
        <v>72</v>
      </c>
      <c r="D513" s="13">
        <v>28286</v>
      </c>
      <c r="E513" s="14">
        <f t="shared" si="342"/>
        <v>200.34</v>
      </c>
      <c r="F513" s="14"/>
      <c r="G513" s="14"/>
      <c r="H513" s="22">
        <v>5666749</v>
      </c>
      <c r="I513" s="15"/>
      <c r="J513" s="15"/>
      <c r="K513" s="15"/>
      <c r="L513" s="15"/>
      <c r="M513" s="22"/>
      <c r="N513" s="22"/>
      <c r="O513" s="22">
        <f t="shared" si="334"/>
        <v>51680751</v>
      </c>
      <c r="P513" s="19">
        <f t="shared" si="335"/>
        <v>2118911</v>
      </c>
      <c r="Q513" s="19">
        <f t="shared" si="336"/>
        <v>53799662</v>
      </c>
      <c r="R513" s="6">
        <f t="shared" si="337"/>
        <v>376598</v>
      </c>
      <c r="S513" s="6"/>
      <c r="T513" s="6"/>
      <c r="U513" s="121">
        <f t="shared" si="338"/>
        <v>262404</v>
      </c>
      <c r="V513" s="121">
        <f t="shared" si="339"/>
        <v>60226</v>
      </c>
      <c r="W513" s="6"/>
      <c r="X513" s="6"/>
      <c r="Y513" s="6"/>
      <c r="Z513" s="6"/>
      <c r="AA513" s="19">
        <f t="shared" si="340"/>
        <v>54498890</v>
      </c>
      <c r="AB513" s="19">
        <f t="shared" si="341"/>
        <v>58729094</v>
      </c>
      <c r="AC513" s="15">
        <f t="shared" si="343"/>
        <v>2076.2600000000002</v>
      </c>
      <c r="AD513" s="15">
        <f t="shared" si="344"/>
        <v>58729090.359999999</v>
      </c>
      <c r="AE513" s="25"/>
      <c r="AF513" s="157">
        <f t="shared" si="345"/>
        <v>-3.64</v>
      </c>
    </row>
    <row r="514" spans="1:32" s="4" customFormat="1" ht="25.5" x14ac:dyDescent="0.25">
      <c r="A514" s="64" t="s">
        <v>448</v>
      </c>
      <c r="B514" s="55" t="s">
        <v>449</v>
      </c>
      <c r="C514" s="16" t="s">
        <v>72</v>
      </c>
      <c r="D514" s="13">
        <v>15760</v>
      </c>
      <c r="E514" s="14">
        <f t="shared" si="342"/>
        <v>160.06</v>
      </c>
      <c r="F514" s="14"/>
      <c r="G514" s="14"/>
      <c r="H514" s="22">
        <v>2522512</v>
      </c>
      <c r="I514" s="15"/>
      <c r="J514" s="15"/>
      <c r="K514" s="15"/>
      <c r="L514" s="15"/>
      <c r="M514" s="22"/>
      <c r="N514" s="22"/>
      <c r="O514" s="22">
        <f t="shared" si="334"/>
        <v>23005309</v>
      </c>
      <c r="P514" s="19">
        <f t="shared" si="335"/>
        <v>943218</v>
      </c>
      <c r="Q514" s="19">
        <f t="shared" si="336"/>
        <v>23948527</v>
      </c>
      <c r="R514" s="6">
        <f t="shared" si="337"/>
        <v>167640</v>
      </c>
      <c r="S514" s="6"/>
      <c r="T514" s="6"/>
      <c r="U514" s="121">
        <f t="shared" si="338"/>
        <v>116807</v>
      </c>
      <c r="V514" s="121">
        <f t="shared" si="339"/>
        <v>26809</v>
      </c>
      <c r="W514" s="6"/>
      <c r="X514" s="6"/>
      <c r="Y514" s="6"/>
      <c r="Z514" s="6"/>
      <c r="AA514" s="19">
        <f t="shared" si="340"/>
        <v>24259783</v>
      </c>
      <c r="AB514" s="19">
        <f t="shared" si="341"/>
        <v>26142827</v>
      </c>
      <c r="AC514" s="15">
        <f t="shared" si="343"/>
        <v>1658.81</v>
      </c>
      <c r="AD514" s="15">
        <f t="shared" si="344"/>
        <v>26142845.600000001</v>
      </c>
      <c r="AE514" s="25"/>
      <c r="AF514" s="157">
        <f t="shared" si="345"/>
        <v>18.600000000000001</v>
      </c>
    </row>
    <row r="515" spans="1:32" s="4" customFormat="1" ht="25.5" x14ac:dyDescent="0.25">
      <c r="A515" s="64" t="s">
        <v>450</v>
      </c>
      <c r="B515" s="55" t="s">
        <v>451</v>
      </c>
      <c r="C515" s="16" t="s">
        <v>72</v>
      </c>
      <c r="D515" s="13">
        <f>2606+2143</f>
        <v>4749</v>
      </c>
      <c r="E515" s="14">
        <f t="shared" si="342"/>
        <v>247.48</v>
      </c>
      <c r="F515" s="14"/>
      <c r="G515" s="14"/>
      <c r="H515" s="22">
        <v>1175275</v>
      </c>
      <c r="I515" s="15"/>
      <c r="J515" s="15"/>
      <c r="K515" s="15"/>
      <c r="L515" s="15"/>
      <c r="M515" s="22"/>
      <c r="N515" s="22"/>
      <c r="O515" s="22">
        <f t="shared" si="334"/>
        <v>10718508</v>
      </c>
      <c r="P515" s="19">
        <f t="shared" si="335"/>
        <v>439459</v>
      </c>
      <c r="Q515" s="19">
        <f t="shared" si="336"/>
        <v>11157967</v>
      </c>
      <c r="R515" s="6">
        <f t="shared" si="337"/>
        <v>78106</v>
      </c>
      <c r="S515" s="6"/>
      <c r="T515" s="6"/>
      <c r="U515" s="121">
        <f t="shared" si="338"/>
        <v>54422</v>
      </c>
      <c r="V515" s="121">
        <f t="shared" si="339"/>
        <v>12491</v>
      </c>
      <c r="W515" s="6"/>
      <c r="X515" s="6"/>
      <c r="Y515" s="6"/>
      <c r="Z515" s="6"/>
      <c r="AA515" s="19">
        <f t="shared" si="340"/>
        <v>11302986</v>
      </c>
      <c r="AB515" s="19">
        <f t="shared" si="341"/>
        <v>12180324</v>
      </c>
      <c r="AC515" s="15">
        <f t="shared" si="343"/>
        <v>2564.8200000000002</v>
      </c>
      <c r="AD515" s="15">
        <f t="shared" si="344"/>
        <v>12180330.18</v>
      </c>
      <c r="AE515" s="25"/>
      <c r="AF515" s="157">
        <f t="shared" si="345"/>
        <v>6.18</v>
      </c>
    </row>
    <row r="516" spans="1:32" s="4" customFormat="1" ht="25.5" x14ac:dyDescent="0.25">
      <c r="A516" s="64" t="s">
        <v>452</v>
      </c>
      <c r="B516" s="55" t="s">
        <v>404</v>
      </c>
      <c r="C516" s="16" t="s">
        <v>72</v>
      </c>
      <c r="D516" s="13">
        <f>48801</f>
        <v>48801</v>
      </c>
      <c r="E516" s="14">
        <f t="shared" si="342"/>
        <v>130.87</v>
      </c>
      <c r="F516" s="14"/>
      <c r="G516" s="14"/>
      <c r="H516" s="22">
        <v>6386704</v>
      </c>
      <c r="I516" s="15"/>
      <c r="J516" s="15"/>
      <c r="K516" s="15"/>
      <c r="L516" s="15"/>
      <c r="M516" s="22"/>
      <c r="N516" s="22"/>
      <c r="O516" s="22">
        <f t="shared" si="334"/>
        <v>58246740</v>
      </c>
      <c r="P516" s="19">
        <f t="shared" si="335"/>
        <v>2388116</v>
      </c>
      <c r="Q516" s="19">
        <f t="shared" si="336"/>
        <v>60634856</v>
      </c>
      <c r="R516" s="6">
        <f t="shared" si="337"/>
        <v>424444</v>
      </c>
      <c r="S516" s="6"/>
      <c r="T516" s="6"/>
      <c r="U516" s="121">
        <f t="shared" si="338"/>
        <v>295743</v>
      </c>
      <c r="V516" s="121">
        <f t="shared" si="339"/>
        <v>67878</v>
      </c>
      <c r="W516" s="6"/>
      <c r="X516" s="6"/>
      <c r="Y516" s="6"/>
      <c r="Z516" s="6"/>
      <c r="AA516" s="19">
        <f t="shared" si="340"/>
        <v>61422921</v>
      </c>
      <c r="AB516" s="19">
        <f t="shared" si="341"/>
        <v>66190568</v>
      </c>
      <c r="AC516" s="15">
        <f t="shared" si="343"/>
        <v>1356.34</v>
      </c>
      <c r="AD516" s="15">
        <f t="shared" si="344"/>
        <v>66190748.340000004</v>
      </c>
      <c r="AE516" s="25"/>
      <c r="AF516" s="157">
        <f t="shared" si="345"/>
        <v>180.34</v>
      </c>
    </row>
    <row r="517" spans="1:32" s="4" customFormat="1" x14ac:dyDescent="0.25">
      <c r="A517" s="64" t="s">
        <v>453</v>
      </c>
      <c r="B517" s="55" t="s">
        <v>407</v>
      </c>
      <c r="C517" s="16" t="s">
        <v>70</v>
      </c>
      <c r="D517" s="13">
        <v>4181</v>
      </c>
      <c r="E517" s="14">
        <f t="shared" si="342"/>
        <v>331.67</v>
      </c>
      <c r="F517" s="14"/>
      <c r="G517" s="14"/>
      <c r="H517" s="22">
        <v>1386733</v>
      </c>
      <c r="I517" s="15"/>
      <c r="J517" s="15"/>
      <c r="K517" s="15"/>
      <c r="L517" s="15"/>
      <c r="M517" s="22"/>
      <c r="N517" s="22"/>
      <c r="O517" s="22">
        <f t="shared" si="334"/>
        <v>12647005</v>
      </c>
      <c r="P517" s="19">
        <f t="shared" si="335"/>
        <v>518527</v>
      </c>
      <c r="Q517" s="19">
        <f t="shared" si="336"/>
        <v>13165532</v>
      </c>
      <c r="R517" s="6">
        <f t="shared" si="337"/>
        <v>92159</v>
      </c>
      <c r="S517" s="6"/>
      <c r="T517" s="6"/>
      <c r="U517" s="121">
        <f t="shared" si="338"/>
        <v>64214</v>
      </c>
      <c r="V517" s="121">
        <f t="shared" si="339"/>
        <v>14738</v>
      </c>
      <c r="W517" s="6"/>
      <c r="X517" s="6"/>
      <c r="Y517" s="6"/>
      <c r="Z517" s="6"/>
      <c r="AA517" s="19">
        <f t="shared" si="340"/>
        <v>13336643</v>
      </c>
      <c r="AB517" s="19">
        <f t="shared" si="341"/>
        <v>14371833</v>
      </c>
      <c r="AC517" s="15">
        <f t="shared" si="343"/>
        <v>3437.42</v>
      </c>
      <c r="AD517" s="15">
        <f t="shared" si="344"/>
        <v>14371853.02</v>
      </c>
      <c r="AE517" s="25"/>
      <c r="AF517" s="157">
        <f t="shared" si="345"/>
        <v>20.02</v>
      </c>
    </row>
    <row r="518" spans="1:32" s="4" customFormat="1" x14ac:dyDescent="0.25">
      <c r="A518" s="64" t="s">
        <v>454</v>
      </c>
      <c r="B518" s="55" t="s">
        <v>409</v>
      </c>
      <c r="C518" s="16" t="s">
        <v>72</v>
      </c>
      <c r="D518" s="13">
        <v>6374</v>
      </c>
      <c r="E518" s="14">
        <f t="shared" si="342"/>
        <v>23.22</v>
      </c>
      <c r="F518" s="14"/>
      <c r="G518" s="14"/>
      <c r="H518" s="22">
        <v>147979</v>
      </c>
      <c r="I518" s="15"/>
      <c r="J518" s="15"/>
      <c r="K518" s="15"/>
      <c r="L518" s="15"/>
      <c r="M518" s="22"/>
      <c r="N518" s="22"/>
      <c r="O518" s="22">
        <f t="shared" si="334"/>
        <v>1349568</v>
      </c>
      <c r="P518" s="19">
        <f t="shared" si="335"/>
        <v>55332</v>
      </c>
      <c r="Q518" s="19">
        <f t="shared" si="336"/>
        <v>1404900</v>
      </c>
      <c r="R518" s="6">
        <f t="shared" si="337"/>
        <v>9834</v>
      </c>
      <c r="S518" s="6"/>
      <c r="T518" s="6"/>
      <c r="U518" s="121">
        <f t="shared" si="338"/>
        <v>6852</v>
      </c>
      <c r="V518" s="121">
        <f t="shared" si="339"/>
        <v>1573</v>
      </c>
      <c r="W518" s="6"/>
      <c r="X518" s="6"/>
      <c r="Y518" s="6"/>
      <c r="Z518" s="6"/>
      <c r="AA518" s="19">
        <f t="shared" si="340"/>
        <v>1423159</v>
      </c>
      <c r="AB518" s="19">
        <f t="shared" si="341"/>
        <v>1533625</v>
      </c>
      <c r="AC518" s="15">
        <f t="shared" si="343"/>
        <v>240.61</v>
      </c>
      <c r="AD518" s="15">
        <f t="shared" si="344"/>
        <v>1533648.14</v>
      </c>
      <c r="AE518" s="25"/>
      <c r="AF518" s="157">
        <f t="shared" si="345"/>
        <v>23.14</v>
      </c>
    </row>
    <row r="519" spans="1:32" s="4" customFormat="1" ht="25.5" x14ac:dyDescent="0.25">
      <c r="A519" s="64" t="s">
        <v>455</v>
      </c>
      <c r="B519" s="55" t="s">
        <v>456</v>
      </c>
      <c r="C519" s="16" t="s">
        <v>72</v>
      </c>
      <c r="D519" s="13">
        <v>830</v>
      </c>
      <c r="E519" s="14">
        <f t="shared" si="342"/>
        <v>24.77</v>
      </c>
      <c r="F519" s="14"/>
      <c r="G519" s="14"/>
      <c r="H519" s="22">
        <v>20560</v>
      </c>
      <c r="I519" s="15"/>
      <c r="J519" s="15"/>
      <c r="K519" s="15"/>
      <c r="L519" s="15"/>
      <c r="M519" s="22"/>
      <c r="N519" s="22"/>
      <c r="O519" s="22">
        <f t="shared" si="334"/>
        <v>187507</v>
      </c>
      <c r="P519" s="19">
        <f t="shared" si="335"/>
        <v>7688</v>
      </c>
      <c r="Q519" s="19">
        <f t="shared" si="336"/>
        <v>195195</v>
      </c>
      <c r="R519" s="6">
        <f t="shared" si="337"/>
        <v>1366</v>
      </c>
      <c r="S519" s="6"/>
      <c r="T519" s="6"/>
      <c r="U519" s="121">
        <f t="shared" si="338"/>
        <v>952</v>
      </c>
      <c r="V519" s="121">
        <f t="shared" si="339"/>
        <v>219</v>
      </c>
      <c r="W519" s="6"/>
      <c r="X519" s="6"/>
      <c r="Y519" s="6"/>
      <c r="Z519" s="6"/>
      <c r="AA519" s="19">
        <f t="shared" si="340"/>
        <v>197732</v>
      </c>
      <c r="AB519" s="19">
        <f t="shared" si="341"/>
        <v>213080</v>
      </c>
      <c r="AC519" s="15">
        <f t="shared" si="343"/>
        <v>256.72000000000003</v>
      </c>
      <c r="AD519" s="15">
        <f t="shared" si="344"/>
        <v>213077.6</v>
      </c>
      <c r="AE519" s="25"/>
      <c r="AF519" s="157">
        <f t="shared" si="345"/>
        <v>-2.4</v>
      </c>
    </row>
    <row r="520" spans="1:32" s="4" customFormat="1" ht="25.5" x14ac:dyDescent="0.25">
      <c r="A520" s="64" t="s">
        <v>457</v>
      </c>
      <c r="B520" s="55" t="s">
        <v>458</v>
      </c>
      <c r="C520" s="16" t="s">
        <v>72</v>
      </c>
      <c r="D520" s="13">
        <v>1605</v>
      </c>
      <c r="E520" s="14">
        <f t="shared" si="342"/>
        <v>30.59</v>
      </c>
      <c r="F520" s="14"/>
      <c r="G520" s="14"/>
      <c r="H520" s="22">
        <v>49100</v>
      </c>
      <c r="I520" s="15"/>
      <c r="J520" s="15"/>
      <c r="K520" s="15"/>
      <c r="L520" s="15"/>
      <c r="M520" s="22"/>
      <c r="N520" s="22"/>
      <c r="O520" s="22">
        <f t="shared" si="334"/>
        <v>447792</v>
      </c>
      <c r="P520" s="19">
        <f t="shared" si="335"/>
        <v>18359</v>
      </c>
      <c r="Q520" s="19">
        <f t="shared" si="336"/>
        <v>466151</v>
      </c>
      <c r="R520" s="6">
        <f t="shared" si="337"/>
        <v>3263</v>
      </c>
      <c r="S520" s="6"/>
      <c r="T520" s="6"/>
      <c r="U520" s="121">
        <f t="shared" si="338"/>
        <v>2274</v>
      </c>
      <c r="V520" s="121">
        <f t="shared" si="339"/>
        <v>522</v>
      </c>
      <c r="W520" s="6"/>
      <c r="X520" s="6"/>
      <c r="Y520" s="6"/>
      <c r="Z520" s="6"/>
      <c r="AA520" s="19">
        <f t="shared" si="340"/>
        <v>472210</v>
      </c>
      <c r="AB520" s="19">
        <f t="shared" si="341"/>
        <v>508863</v>
      </c>
      <c r="AC520" s="15">
        <f t="shared" si="343"/>
        <v>317.05</v>
      </c>
      <c r="AD520" s="15">
        <f t="shared" si="344"/>
        <v>508865.25</v>
      </c>
      <c r="AE520" s="25"/>
      <c r="AF520" s="157">
        <f t="shared" si="345"/>
        <v>2.25</v>
      </c>
    </row>
    <row r="521" spans="1:32" s="4" customFormat="1" ht="25.5" x14ac:dyDescent="0.25">
      <c r="A521" s="64" t="s">
        <v>459</v>
      </c>
      <c r="B521" s="55" t="s">
        <v>460</v>
      </c>
      <c r="C521" s="16" t="s">
        <v>72</v>
      </c>
      <c r="D521" s="13">
        <v>868</v>
      </c>
      <c r="E521" s="14">
        <f t="shared" si="342"/>
        <v>34.96</v>
      </c>
      <c r="F521" s="14"/>
      <c r="G521" s="14"/>
      <c r="H521" s="22">
        <v>30343</v>
      </c>
      <c r="I521" s="15"/>
      <c r="J521" s="15"/>
      <c r="K521" s="15"/>
      <c r="L521" s="15"/>
      <c r="M521" s="22"/>
      <c r="N521" s="22"/>
      <c r="O521" s="22">
        <f t="shared" si="334"/>
        <v>276728</v>
      </c>
      <c r="P521" s="19">
        <f t="shared" si="335"/>
        <v>11346</v>
      </c>
      <c r="Q521" s="19">
        <f t="shared" si="336"/>
        <v>288074</v>
      </c>
      <c r="R521" s="6">
        <f t="shared" si="337"/>
        <v>2017</v>
      </c>
      <c r="S521" s="6"/>
      <c r="T521" s="6"/>
      <c r="U521" s="121">
        <f t="shared" si="338"/>
        <v>1405</v>
      </c>
      <c r="V521" s="121">
        <f t="shared" si="339"/>
        <v>322</v>
      </c>
      <c r="W521" s="6"/>
      <c r="X521" s="6"/>
      <c r="Y521" s="6"/>
      <c r="Z521" s="6"/>
      <c r="AA521" s="19">
        <f t="shared" si="340"/>
        <v>291818</v>
      </c>
      <c r="AB521" s="19">
        <f t="shared" si="341"/>
        <v>314469</v>
      </c>
      <c r="AC521" s="15">
        <f t="shared" si="343"/>
        <v>362.29</v>
      </c>
      <c r="AD521" s="15">
        <f t="shared" si="344"/>
        <v>314467.71999999997</v>
      </c>
      <c r="AE521" s="25"/>
      <c r="AF521" s="157">
        <f t="shared" si="345"/>
        <v>-1.28</v>
      </c>
    </row>
    <row r="522" spans="1:32" s="4" customFormat="1" ht="25.5" x14ac:dyDescent="0.25">
      <c r="A522" s="64" t="s">
        <v>461</v>
      </c>
      <c r="B522" s="55" t="s">
        <v>462</v>
      </c>
      <c r="C522" s="16" t="s">
        <v>72</v>
      </c>
      <c r="D522" s="13">
        <v>1566</v>
      </c>
      <c r="E522" s="14">
        <f t="shared" si="342"/>
        <v>39.33</v>
      </c>
      <c r="F522" s="14"/>
      <c r="G522" s="14"/>
      <c r="H522" s="22">
        <v>61588</v>
      </c>
      <c r="I522" s="15"/>
      <c r="J522" s="15"/>
      <c r="K522" s="15"/>
      <c r="L522" s="15"/>
      <c r="M522" s="22"/>
      <c r="N522" s="22"/>
      <c r="O522" s="22">
        <f t="shared" si="334"/>
        <v>561683</v>
      </c>
      <c r="P522" s="19">
        <f t="shared" si="335"/>
        <v>23029</v>
      </c>
      <c r="Q522" s="19">
        <f t="shared" si="336"/>
        <v>584712</v>
      </c>
      <c r="R522" s="6">
        <f t="shared" si="337"/>
        <v>4093</v>
      </c>
      <c r="S522" s="6"/>
      <c r="T522" s="6"/>
      <c r="U522" s="121">
        <f t="shared" si="338"/>
        <v>2852</v>
      </c>
      <c r="V522" s="121">
        <f t="shared" si="339"/>
        <v>655</v>
      </c>
      <c r="W522" s="6"/>
      <c r="X522" s="6"/>
      <c r="Y522" s="6"/>
      <c r="Z522" s="6"/>
      <c r="AA522" s="19">
        <f t="shared" si="340"/>
        <v>592312</v>
      </c>
      <c r="AB522" s="19">
        <f t="shared" si="341"/>
        <v>638287</v>
      </c>
      <c r="AC522" s="15">
        <f t="shared" si="343"/>
        <v>407.59</v>
      </c>
      <c r="AD522" s="15">
        <f t="shared" si="344"/>
        <v>638285.93999999994</v>
      </c>
      <c r="AE522" s="25"/>
      <c r="AF522" s="157">
        <f t="shared" si="345"/>
        <v>-1.06</v>
      </c>
    </row>
    <row r="523" spans="1:32" s="4" customFormat="1" ht="25.5" x14ac:dyDescent="0.25">
      <c r="A523" s="64" t="s">
        <v>463</v>
      </c>
      <c r="B523" s="55" t="s">
        <v>464</v>
      </c>
      <c r="C523" s="16" t="s">
        <v>72</v>
      </c>
      <c r="D523" s="13">
        <v>5013</v>
      </c>
      <c r="E523" s="14">
        <f t="shared" si="342"/>
        <v>68.28</v>
      </c>
      <c r="F523" s="14"/>
      <c r="G523" s="14"/>
      <c r="H523" s="22">
        <v>342304</v>
      </c>
      <c r="I523" s="15"/>
      <c r="J523" s="15"/>
      <c r="K523" s="15"/>
      <c r="L523" s="15"/>
      <c r="M523" s="22"/>
      <c r="N523" s="22"/>
      <c r="O523" s="22">
        <f t="shared" si="334"/>
        <v>3121812</v>
      </c>
      <c r="P523" s="19">
        <f t="shared" si="335"/>
        <v>127994</v>
      </c>
      <c r="Q523" s="19">
        <f t="shared" si="336"/>
        <v>3249806</v>
      </c>
      <c r="R523" s="6">
        <f t="shared" si="337"/>
        <v>22749</v>
      </c>
      <c r="S523" s="6"/>
      <c r="T523" s="6"/>
      <c r="U523" s="121">
        <f t="shared" si="338"/>
        <v>15851</v>
      </c>
      <c r="V523" s="121">
        <f t="shared" si="339"/>
        <v>3638</v>
      </c>
      <c r="W523" s="6"/>
      <c r="X523" s="6"/>
      <c r="Y523" s="6"/>
      <c r="Z523" s="6"/>
      <c r="AA523" s="19">
        <f t="shared" si="340"/>
        <v>3292044</v>
      </c>
      <c r="AB523" s="19">
        <f t="shared" si="341"/>
        <v>3547572</v>
      </c>
      <c r="AC523" s="15">
        <f t="shared" si="343"/>
        <v>707.67</v>
      </c>
      <c r="AD523" s="15">
        <f t="shared" si="344"/>
        <v>3547549.71</v>
      </c>
      <c r="AE523" s="25"/>
      <c r="AF523" s="157">
        <f t="shared" si="345"/>
        <v>-22.29</v>
      </c>
    </row>
    <row r="524" spans="1:32" s="4" customFormat="1" ht="25.5" x14ac:dyDescent="0.25">
      <c r="A524" s="64" t="s">
        <v>465</v>
      </c>
      <c r="B524" s="55" t="s">
        <v>466</v>
      </c>
      <c r="C524" s="16" t="s">
        <v>72</v>
      </c>
      <c r="D524" s="13">
        <f>5013+1543</f>
        <v>6556</v>
      </c>
      <c r="E524" s="14">
        <f t="shared" si="342"/>
        <v>121.03</v>
      </c>
      <c r="F524" s="14"/>
      <c r="G524" s="14"/>
      <c r="H524" s="22">
        <v>793445</v>
      </c>
      <c r="I524" s="15"/>
      <c r="J524" s="15"/>
      <c r="K524" s="15"/>
      <c r="L524" s="15"/>
      <c r="M524" s="22"/>
      <c r="N524" s="22"/>
      <c r="O524" s="22">
        <f t="shared" si="334"/>
        <v>7236218</v>
      </c>
      <c r="P524" s="19">
        <f t="shared" si="335"/>
        <v>296685</v>
      </c>
      <c r="Q524" s="19">
        <f t="shared" si="336"/>
        <v>7532903</v>
      </c>
      <c r="R524" s="6">
        <f t="shared" si="337"/>
        <v>52730</v>
      </c>
      <c r="S524" s="6"/>
      <c r="T524" s="6"/>
      <c r="U524" s="121">
        <f t="shared" si="338"/>
        <v>36741</v>
      </c>
      <c r="V524" s="121">
        <f t="shared" si="339"/>
        <v>8433</v>
      </c>
      <c r="W524" s="6"/>
      <c r="X524" s="6"/>
      <c r="Y524" s="6"/>
      <c r="Z524" s="6"/>
      <c r="AA524" s="19">
        <f t="shared" si="340"/>
        <v>7630807</v>
      </c>
      <c r="AB524" s="19">
        <f t="shared" si="341"/>
        <v>8223110</v>
      </c>
      <c r="AC524" s="15">
        <f t="shared" si="343"/>
        <v>1254.29</v>
      </c>
      <c r="AD524" s="15">
        <f t="shared" si="344"/>
        <v>8223125.2400000002</v>
      </c>
      <c r="AE524" s="25"/>
      <c r="AF524" s="157">
        <f t="shared" si="345"/>
        <v>15.24</v>
      </c>
    </row>
    <row r="525" spans="1:32" s="4" customFormat="1" x14ac:dyDescent="0.25">
      <c r="A525" s="64" t="s">
        <v>467</v>
      </c>
      <c r="B525" s="55" t="s">
        <v>412</v>
      </c>
      <c r="C525" s="16" t="s">
        <v>468</v>
      </c>
      <c r="D525" s="13">
        <f>5819+193</f>
        <v>6012</v>
      </c>
      <c r="E525" s="14">
        <f t="shared" si="342"/>
        <v>193.74</v>
      </c>
      <c r="F525" s="14"/>
      <c r="G525" s="14"/>
      <c r="H525" s="22">
        <v>1164792</v>
      </c>
      <c r="I525" s="15"/>
      <c r="J525" s="15"/>
      <c r="K525" s="15"/>
      <c r="L525" s="15"/>
      <c r="M525" s="22"/>
      <c r="N525" s="22"/>
      <c r="O525" s="22">
        <f t="shared" si="334"/>
        <v>10622903</v>
      </c>
      <c r="P525" s="19">
        <f t="shared" si="335"/>
        <v>435539</v>
      </c>
      <c r="Q525" s="19">
        <f t="shared" si="336"/>
        <v>11058442</v>
      </c>
      <c r="R525" s="6">
        <f t="shared" si="337"/>
        <v>77409</v>
      </c>
      <c r="S525" s="6"/>
      <c r="T525" s="6"/>
      <c r="U525" s="121">
        <f t="shared" si="338"/>
        <v>53937</v>
      </c>
      <c r="V525" s="121">
        <f t="shared" si="339"/>
        <v>12379</v>
      </c>
      <c r="W525" s="6"/>
      <c r="X525" s="6"/>
      <c r="Y525" s="6"/>
      <c r="Z525" s="6"/>
      <c r="AA525" s="19">
        <f t="shared" si="340"/>
        <v>11202167</v>
      </c>
      <c r="AB525" s="19">
        <f t="shared" si="341"/>
        <v>12071679</v>
      </c>
      <c r="AC525" s="15">
        <f t="shared" si="343"/>
        <v>2007.93</v>
      </c>
      <c r="AD525" s="15">
        <f t="shared" si="344"/>
        <v>12071675.16</v>
      </c>
      <c r="AE525" s="25"/>
      <c r="AF525" s="157">
        <f t="shared" si="345"/>
        <v>-3.84</v>
      </c>
    </row>
    <row r="526" spans="1:32" s="4" customFormat="1" x14ac:dyDescent="0.25">
      <c r="A526" s="64" t="s">
        <v>469</v>
      </c>
      <c r="B526" s="55" t="s">
        <v>470</v>
      </c>
      <c r="C526" s="16" t="s">
        <v>468</v>
      </c>
      <c r="D526" s="13">
        <f>1581+1116</f>
        <v>2697</v>
      </c>
      <c r="E526" s="14">
        <f t="shared" si="342"/>
        <v>82.59</v>
      </c>
      <c r="F526" s="14"/>
      <c r="G526" s="14"/>
      <c r="H526" s="22">
        <v>222738</v>
      </c>
      <c r="I526" s="15"/>
      <c r="J526" s="15"/>
      <c r="K526" s="15"/>
      <c r="L526" s="15"/>
      <c r="M526" s="22"/>
      <c r="N526" s="22"/>
      <c r="O526" s="22">
        <f t="shared" si="334"/>
        <v>2031371</v>
      </c>
      <c r="P526" s="19">
        <f t="shared" si="335"/>
        <v>83286</v>
      </c>
      <c r="Q526" s="19">
        <f t="shared" si="336"/>
        <v>2114657</v>
      </c>
      <c r="R526" s="6">
        <f t="shared" si="337"/>
        <v>14803</v>
      </c>
      <c r="S526" s="6"/>
      <c r="T526" s="6"/>
      <c r="U526" s="121">
        <f t="shared" si="338"/>
        <v>10314</v>
      </c>
      <c r="V526" s="121">
        <f t="shared" si="339"/>
        <v>2367</v>
      </c>
      <c r="W526" s="6"/>
      <c r="X526" s="6"/>
      <c r="Y526" s="6"/>
      <c r="Z526" s="6"/>
      <c r="AA526" s="19">
        <f t="shared" si="340"/>
        <v>2142141</v>
      </c>
      <c r="AB526" s="19">
        <f t="shared" si="341"/>
        <v>2308414</v>
      </c>
      <c r="AC526" s="15">
        <f t="shared" si="343"/>
        <v>855.92</v>
      </c>
      <c r="AD526" s="15">
        <f t="shared" si="344"/>
        <v>2308416.2400000002</v>
      </c>
      <c r="AE526" s="25"/>
      <c r="AF526" s="157">
        <f t="shared" si="345"/>
        <v>2.2400000000000002</v>
      </c>
    </row>
    <row r="527" spans="1:32" s="4" customFormat="1" ht="25.5" x14ac:dyDescent="0.25">
      <c r="A527" s="64" t="s">
        <v>471</v>
      </c>
      <c r="B527" s="55" t="s">
        <v>414</v>
      </c>
      <c r="C527" s="16" t="s">
        <v>67</v>
      </c>
      <c r="D527" s="13">
        <v>58</v>
      </c>
      <c r="E527" s="14">
        <f t="shared" si="342"/>
        <v>1146.1199999999999</v>
      </c>
      <c r="F527" s="14"/>
      <c r="G527" s="14"/>
      <c r="H527" s="22">
        <v>66475</v>
      </c>
      <c r="I527" s="15"/>
      <c r="J527" s="15"/>
      <c r="K527" s="15"/>
      <c r="L527" s="15"/>
      <c r="M527" s="22"/>
      <c r="N527" s="22"/>
      <c r="O527" s="22">
        <f t="shared" si="334"/>
        <v>606252</v>
      </c>
      <c r="P527" s="19">
        <f t="shared" si="335"/>
        <v>24856</v>
      </c>
      <c r="Q527" s="19">
        <f t="shared" si="336"/>
        <v>631108</v>
      </c>
      <c r="R527" s="6">
        <f t="shared" si="337"/>
        <v>4418</v>
      </c>
      <c r="S527" s="6"/>
      <c r="T527" s="6"/>
      <c r="U527" s="121">
        <f t="shared" si="338"/>
        <v>3078</v>
      </c>
      <c r="V527" s="121">
        <f t="shared" si="339"/>
        <v>706</v>
      </c>
      <c r="W527" s="6"/>
      <c r="X527" s="6"/>
      <c r="Y527" s="6"/>
      <c r="Z527" s="6"/>
      <c r="AA527" s="19">
        <f t="shared" si="340"/>
        <v>639310</v>
      </c>
      <c r="AB527" s="19">
        <f t="shared" si="341"/>
        <v>688933</v>
      </c>
      <c r="AC527" s="15">
        <f t="shared" si="343"/>
        <v>11878.16</v>
      </c>
      <c r="AD527" s="15">
        <f t="shared" si="344"/>
        <v>688933.28</v>
      </c>
      <c r="AE527" s="25"/>
      <c r="AF527" s="157">
        <f t="shared" si="345"/>
        <v>0.28000000000000003</v>
      </c>
    </row>
    <row r="528" spans="1:32" s="4" customFormat="1" ht="25.5" x14ac:dyDescent="0.25">
      <c r="A528" s="64" t="s">
        <v>472</v>
      </c>
      <c r="B528" s="55" t="s">
        <v>415</v>
      </c>
      <c r="C528" s="16" t="s">
        <v>67</v>
      </c>
      <c r="D528" s="13">
        <v>2</v>
      </c>
      <c r="E528" s="14">
        <f t="shared" si="342"/>
        <v>1503.5</v>
      </c>
      <c r="F528" s="14"/>
      <c r="G528" s="14"/>
      <c r="H528" s="22">
        <v>3007</v>
      </c>
      <c r="I528" s="15"/>
      <c r="J528" s="15"/>
      <c r="K528" s="15"/>
      <c r="L528" s="15"/>
      <c r="M528" s="22"/>
      <c r="N528" s="22"/>
      <c r="O528" s="22">
        <f t="shared" si="334"/>
        <v>27424</v>
      </c>
      <c r="P528" s="19">
        <f t="shared" si="335"/>
        <v>1124</v>
      </c>
      <c r="Q528" s="19">
        <f t="shared" si="336"/>
        <v>28548</v>
      </c>
      <c r="R528" s="6">
        <f t="shared" si="337"/>
        <v>200</v>
      </c>
      <c r="S528" s="6"/>
      <c r="T528" s="6"/>
      <c r="U528" s="121">
        <f t="shared" si="338"/>
        <v>139</v>
      </c>
      <c r="V528" s="121">
        <f t="shared" si="339"/>
        <v>32</v>
      </c>
      <c r="W528" s="6"/>
      <c r="X528" s="6"/>
      <c r="Y528" s="6"/>
      <c r="Z528" s="6"/>
      <c r="AA528" s="19">
        <f t="shared" si="340"/>
        <v>28919</v>
      </c>
      <c r="AB528" s="19">
        <f t="shared" si="341"/>
        <v>31164</v>
      </c>
      <c r="AC528" s="15">
        <f t="shared" si="343"/>
        <v>15582</v>
      </c>
      <c r="AD528" s="15">
        <f t="shared" si="344"/>
        <v>31164</v>
      </c>
      <c r="AE528" s="25"/>
      <c r="AF528" s="157">
        <f t="shared" si="345"/>
        <v>0</v>
      </c>
    </row>
    <row r="529" spans="1:32" s="4" customFormat="1" ht="25.5" x14ac:dyDescent="0.25">
      <c r="A529" s="64" t="s">
        <v>473</v>
      </c>
      <c r="B529" s="55" t="s">
        <v>416</v>
      </c>
      <c r="C529" s="16" t="s">
        <v>67</v>
      </c>
      <c r="D529" s="13">
        <v>27</v>
      </c>
      <c r="E529" s="14">
        <f t="shared" si="342"/>
        <v>6628.89</v>
      </c>
      <c r="F529" s="14"/>
      <c r="G529" s="14"/>
      <c r="H529" s="22">
        <v>178980</v>
      </c>
      <c r="I529" s="15"/>
      <c r="J529" s="15"/>
      <c r="K529" s="15"/>
      <c r="L529" s="15"/>
      <c r="M529" s="22"/>
      <c r="N529" s="22"/>
      <c r="O529" s="22">
        <f t="shared" si="334"/>
        <v>1632298</v>
      </c>
      <c r="P529" s="19">
        <f t="shared" si="335"/>
        <v>66924</v>
      </c>
      <c r="Q529" s="19">
        <f t="shared" si="336"/>
        <v>1699222</v>
      </c>
      <c r="R529" s="6">
        <f t="shared" si="337"/>
        <v>11895</v>
      </c>
      <c r="S529" s="6"/>
      <c r="T529" s="6"/>
      <c r="U529" s="121">
        <f t="shared" si="338"/>
        <v>8288</v>
      </c>
      <c r="V529" s="121">
        <f t="shared" si="339"/>
        <v>1902</v>
      </c>
      <c r="W529" s="6"/>
      <c r="X529" s="6"/>
      <c r="Y529" s="6"/>
      <c r="Z529" s="6"/>
      <c r="AA529" s="19">
        <f t="shared" si="340"/>
        <v>1721307</v>
      </c>
      <c r="AB529" s="19">
        <f t="shared" si="341"/>
        <v>1854915</v>
      </c>
      <c r="AC529" s="15">
        <f t="shared" si="343"/>
        <v>68700.56</v>
      </c>
      <c r="AD529" s="15">
        <f t="shared" si="344"/>
        <v>1854915.12</v>
      </c>
      <c r="AE529" s="25"/>
      <c r="AF529" s="157">
        <f t="shared" si="345"/>
        <v>0.12</v>
      </c>
    </row>
    <row r="530" spans="1:32" s="4" customFormat="1" x14ac:dyDescent="0.25">
      <c r="A530" s="64" t="s">
        <v>474</v>
      </c>
      <c r="B530" s="55" t="s">
        <v>475</v>
      </c>
      <c r="C530" s="16" t="s">
        <v>468</v>
      </c>
      <c r="D530" s="13">
        <v>587.04999999999995</v>
      </c>
      <c r="E530" s="14">
        <f t="shared" si="342"/>
        <v>477.09</v>
      </c>
      <c r="F530" s="14"/>
      <c r="G530" s="14"/>
      <c r="H530" s="22">
        <v>280078</v>
      </c>
      <c r="I530" s="15"/>
      <c r="J530" s="15"/>
      <c r="K530" s="15"/>
      <c r="L530" s="15"/>
      <c r="M530" s="22"/>
      <c r="N530" s="22"/>
      <c r="O530" s="22">
        <f t="shared" si="334"/>
        <v>2554311</v>
      </c>
      <c r="P530" s="19">
        <f t="shared" si="335"/>
        <v>104727</v>
      </c>
      <c r="Q530" s="19">
        <f t="shared" si="336"/>
        <v>2659038</v>
      </c>
      <c r="R530" s="6">
        <f t="shared" si="337"/>
        <v>18613</v>
      </c>
      <c r="S530" s="6"/>
      <c r="T530" s="6"/>
      <c r="U530" s="121">
        <f t="shared" si="338"/>
        <v>12969</v>
      </c>
      <c r="V530" s="121">
        <f t="shared" si="339"/>
        <v>2977</v>
      </c>
      <c r="W530" s="6"/>
      <c r="X530" s="6"/>
      <c r="Y530" s="6"/>
      <c r="Z530" s="6"/>
      <c r="AA530" s="19">
        <f t="shared" si="340"/>
        <v>2693597</v>
      </c>
      <c r="AB530" s="19">
        <f t="shared" si="341"/>
        <v>2902674</v>
      </c>
      <c r="AC530" s="15">
        <f t="shared" si="343"/>
        <v>4944.51</v>
      </c>
      <c r="AD530" s="15">
        <f t="shared" si="344"/>
        <v>2902674.6</v>
      </c>
      <c r="AE530" s="25"/>
      <c r="AF530" s="157">
        <f t="shared" si="345"/>
        <v>0.6</v>
      </c>
    </row>
    <row r="531" spans="1:32" s="4" customFormat="1" x14ac:dyDescent="0.25">
      <c r="A531" s="64" t="s">
        <v>476</v>
      </c>
      <c r="B531" s="55" t="s">
        <v>477</v>
      </c>
      <c r="C531" s="16" t="s">
        <v>67</v>
      </c>
      <c r="D531" s="13">
        <v>12</v>
      </c>
      <c r="E531" s="14">
        <f t="shared" si="342"/>
        <v>3166.58</v>
      </c>
      <c r="F531" s="14"/>
      <c r="G531" s="14"/>
      <c r="H531" s="22">
        <v>37999</v>
      </c>
      <c r="I531" s="15"/>
      <c r="J531" s="15"/>
      <c r="K531" s="15"/>
      <c r="L531" s="15"/>
      <c r="M531" s="22"/>
      <c r="N531" s="22"/>
      <c r="O531" s="22">
        <f t="shared" si="334"/>
        <v>346551</v>
      </c>
      <c r="P531" s="19">
        <f t="shared" si="335"/>
        <v>14209</v>
      </c>
      <c r="Q531" s="19">
        <f t="shared" si="336"/>
        <v>360760</v>
      </c>
      <c r="R531" s="6">
        <f t="shared" si="337"/>
        <v>2525</v>
      </c>
      <c r="S531" s="6"/>
      <c r="T531" s="6"/>
      <c r="U531" s="121">
        <f t="shared" si="338"/>
        <v>1760</v>
      </c>
      <c r="V531" s="121">
        <f t="shared" si="339"/>
        <v>404</v>
      </c>
      <c r="W531" s="6"/>
      <c r="X531" s="6"/>
      <c r="Y531" s="6"/>
      <c r="Z531" s="6"/>
      <c r="AA531" s="19">
        <f t="shared" si="340"/>
        <v>365449</v>
      </c>
      <c r="AB531" s="19">
        <f t="shared" si="341"/>
        <v>393815</v>
      </c>
      <c r="AC531" s="15">
        <f t="shared" si="343"/>
        <v>32817.919999999998</v>
      </c>
      <c r="AD531" s="15">
        <f t="shared" si="344"/>
        <v>393815.03999999998</v>
      </c>
      <c r="AE531" s="25"/>
      <c r="AF531" s="157">
        <f t="shared" si="345"/>
        <v>0.04</v>
      </c>
    </row>
    <row r="532" spans="1:32" s="4" customFormat="1" x14ac:dyDescent="0.25">
      <c r="A532" s="64" t="s">
        <v>478</v>
      </c>
      <c r="B532" s="55" t="s">
        <v>420</v>
      </c>
      <c r="C532" s="16" t="s">
        <v>67</v>
      </c>
      <c r="D532" s="13">
        <v>73</v>
      </c>
      <c r="E532" s="14">
        <f t="shared" si="342"/>
        <v>1857.95</v>
      </c>
      <c r="F532" s="14"/>
      <c r="G532" s="14"/>
      <c r="H532" s="22">
        <v>135630</v>
      </c>
      <c r="I532" s="15"/>
      <c r="J532" s="15"/>
      <c r="K532" s="15"/>
      <c r="L532" s="15"/>
      <c r="M532" s="22"/>
      <c r="N532" s="22"/>
      <c r="O532" s="22">
        <f t="shared" si="334"/>
        <v>1236946</v>
      </c>
      <c r="P532" s="19">
        <f t="shared" si="335"/>
        <v>50715</v>
      </c>
      <c r="Q532" s="19">
        <f t="shared" si="336"/>
        <v>1287661</v>
      </c>
      <c r="R532" s="6">
        <f t="shared" si="337"/>
        <v>9014</v>
      </c>
      <c r="S532" s="6"/>
      <c r="T532" s="6"/>
      <c r="U532" s="121">
        <f t="shared" si="338"/>
        <v>6280</v>
      </c>
      <c r="V532" s="121">
        <f t="shared" si="339"/>
        <v>1441</v>
      </c>
      <c r="W532" s="6"/>
      <c r="X532" s="6"/>
      <c r="Y532" s="6"/>
      <c r="Z532" s="6"/>
      <c r="AA532" s="19">
        <f t="shared" si="340"/>
        <v>1304396</v>
      </c>
      <c r="AB532" s="19">
        <f t="shared" si="341"/>
        <v>1405643</v>
      </c>
      <c r="AC532" s="15">
        <f t="shared" si="343"/>
        <v>19255.38</v>
      </c>
      <c r="AD532" s="15">
        <f t="shared" si="344"/>
        <v>1405642.74</v>
      </c>
      <c r="AE532" s="25"/>
      <c r="AF532" s="157">
        <f t="shared" si="345"/>
        <v>-0.26</v>
      </c>
    </row>
    <row r="533" spans="1:32" s="4" customFormat="1" x14ac:dyDescent="0.25">
      <c r="A533" s="64" t="s">
        <v>479</v>
      </c>
      <c r="B533" s="55" t="s">
        <v>480</v>
      </c>
      <c r="C533" s="16" t="s">
        <v>70</v>
      </c>
      <c r="D533" s="13">
        <v>108.9</v>
      </c>
      <c r="E533" s="14">
        <f t="shared" si="342"/>
        <v>3198.87</v>
      </c>
      <c r="F533" s="14"/>
      <c r="G533" s="14"/>
      <c r="H533" s="22">
        <v>348357</v>
      </c>
      <c r="I533" s="15"/>
      <c r="J533" s="15"/>
      <c r="K533" s="15"/>
      <c r="L533" s="15"/>
      <c r="M533" s="22"/>
      <c r="N533" s="22"/>
      <c r="O533" s="22">
        <f t="shared" si="334"/>
        <v>3177016</v>
      </c>
      <c r="P533" s="19">
        <f t="shared" si="335"/>
        <v>130258</v>
      </c>
      <c r="Q533" s="19">
        <f t="shared" si="336"/>
        <v>3307274</v>
      </c>
      <c r="R533" s="6">
        <f t="shared" si="337"/>
        <v>23151</v>
      </c>
      <c r="S533" s="6"/>
      <c r="T533" s="6"/>
      <c r="U533" s="121">
        <f t="shared" si="338"/>
        <v>16131</v>
      </c>
      <c r="V533" s="121">
        <f t="shared" si="339"/>
        <v>3702</v>
      </c>
      <c r="W533" s="6"/>
      <c r="X533" s="6"/>
      <c r="Y533" s="6"/>
      <c r="Z533" s="6"/>
      <c r="AA533" s="19">
        <f t="shared" si="340"/>
        <v>3350258</v>
      </c>
      <c r="AB533" s="19">
        <f t="shared" si="341"/>
        <v>3610305</v>
      </c>
      <c r="AC533" s="15">
        <f t="shared" si="343"/>
        <v>33152.480000000003</v>
      </c>
      <c r="AD533" s="15">
        <f t="shared" si="344"/>
        <v>3610305.07</v>
      </c>
      <c r="AE533" s="25"/>
      <c r="AF533" s="157">
        <f t="shared" si="345"/>
        <v>7.0000000000000007E-2</v>
      </c>
    </row>
    <row r="534" spans="1:32" s="4" customFormat="1" ht="25.5" x14ac:dyDescent="0.25">
      <c r="A534" s="64" t="s">
        <v>481</v>
      </c>
      <c r="B534" s="55" t="s">
        <v>482</v>
      </c>
      <c r="C534" s="16" t="s">
        <v>72</v>
      </c>
      <c r="D534" s="13">
        <v>1726</v>
      </c>
      <c r="E534" s="14">
        <f t="shared" si="342"/>
        <v>128.63</v>
      </c>
      <c r="F534" s="14"/>
      <c r="G534" s="14"/>
      <c r="H534" s="22">
        <v>222013</v>
      </c>
      <c r="I534" s="15"/>
      <c r="J534" s="15"/>
      <c r="K534" s="15"/>
      <c r="L534" s="15"/>
      <c r="M534" s="22"/>
      <c r="N534" s="22"/>
      <c r="O534" s="22">
        <f t="shared" si="334"/>
        <v>2024759</v>
      </c>
      <c r="P534" s="19">
        <f t="shared" si="335"/>
        <v>83015</v>
      </c>
      <c r="Q534" s="19">
        <f t="shared" si="336"/>
        <v>2107774</v>
      </c>
      <c r="R534" s="6">
        <f t="shared" si="337"/>
        <v>14754</v>
      </c>
      <c r="S534" s="6"/>
      <c r="T534" s="6"/>
      <c r="U534" s="121">
        <f t="shared" si="338"/>
        <v>10281</v>
      </c>
      <c r="V534" s="121">
        <f t="shared" si="339"/>
        <v>2360</v>
      </c>
      <c r="W534" s="6"/>
      <c r="X534" s="6"/>
      <c r="Y534" s="6"/>
      <c r="Z534" s="6"/>
      <c r="AA534" s="19">
        <f t="shared" si="340"/>
        <v>2135169</v>
      </c>
      <c r="AB534" s="19">
        <f t="shared" si="341"/>
        <v>2300901</v>
      </c>
      <c r="AC534" s="15">
        <f t="shared" si="343"/>
        <v>1333.08</v>
      </c>
      <c r="AD534" s="15">
        <f t="shared" si="344"/>
        <v>2300896.08</v>
      </c>
      <c r="AE534" s="25"/>
      <c r="AF534" s="157">
        <f t="shared" si="345"/>
        <v>-4.92</v>
      </c>
    </row>
    <row r="535" spans="1:32" s="4" customFormat="1" ht="25.5" x14ac:dyDescent="0.25">
      <c r="A535" s="64" t="s">
        <v>483</v>
      </c>
      <c r="B535" s="55" t="s">
        <v>484</v>
      </c>
      <c r="C535" s="16" t="s">
        <v>72</v>
      </c>
      <c r="D535" s="13">
        <v>571</v>
      </c>
      <c r="E535" s="14">
        <f t="shared" si="342"/>
        <v>65.53</v>
      </c>
      <c r="F535" s="14"/>
      <c r="G535" s="14"/>
      <c r="H535" s="22">
        <v>37419</v>
      </c>
      <c r="I535" s="15"/>
      <c r="J535" s="15"/>
      <c r="K535" s="15"/>
      <c r="L535" s="15"/>
      <c r="M535" s="22"/>
      <c r="N535" s="22"/>
      <c r="O535" s="22">
        <f t="shared" si="334"/>
        <v>341261</v>
      </c>
      <c r="P535" s="19">
        <f t="shared" si="335"/>
        <v>13992</v>
      </c>
      <c r="Q535" s="19">
        <f t="shared" si="336"/>
        <v>355253</v>
      </c>
      <c r="R535" s="6">
        <f t="shared" si="337"/>
        <v>2487</v>
      </c>
      <c r="S535" s="6"/>
      <c r="T535" s="6"/>
      <c r="U535" s="121">
        <f t="shared" si="338"/>
        <v>1733</v>
      </c>
      <c r="V535" s="121">
        <f t="shared" si="339"/>
        <v>398</v>
      </c>
      <c r="W535" s="6"/>
      <c r="X535" s="6"/>
      <c r="Y535" s="6"/>
      <c r="Z535" s="6"/>
      <c r="AA535" s="19">
        <f t="shared" si="340"/>
        <v>359871</v>
      </c>
      <c r="AB535" s="19">
        <f t="shared" si="341"/>
        <v>387804</v>
      </c>
      <c r="AC535" s="15">
        <f t="shared" si="343"/>
        <v>679.17</v>
      </c>
      <c r="AD535" s="15">
        <f t="shared" si="344"/>
        <v>387806.07</v>
      </c>
      <c r="AE535" s="25"/>
      <c r="AF535" s="157">
        <f t="shared" si="345"/>
        <v>2.0699999999999998</v>
      </c>
    </row>
    <row r="536" spans="1:32" s="4" customFormat="1" x14ac:dyDescent="0.25">
      <c r="A536" s="64" t="s">
        <v>485</v>
      </c>
      <c r="B536" s="55" t="s">
        <v>395</v>
      </c>
      <c r="C536" s="16" t="s">
        <v>72</v>
      </c>
      <c r="D536" s="13">
        <v>534</v>
      </c>
      <c r="E536" s="14">
        <f t="shared" si="342"/>
        <v>19.100000000000001</v>
      </c>
      <c r="F536" s="14"/>
      <c r="G536" s="14"/>
      <c r="H536" s="22">
        <v>10198</v>
      </c>
      <c r="I536" s="15"/>
      <c r="J536" s="15"/>
      <c r="K536" s="15"/>
      <c r="L536" s="15"/>
      <c r="M536" s="22"/>
      <c r="N536" s="22"/>
      <c r="O536" s="22">
        <f t="shared" si="334"/>
        <v>93006</v>
      </c>
      <c r="P536" s="19">
        <f t="shared" si="335"/>
        <v>3813</v>
      </c>
      <c r="Q536" s="19">
        <f t="shared" si="336"/>
        <v>96819</v>
      </c>
      <c r="R536" s="6">
        <f t="shared" si="337"/>
        <v>678</v>
      </c>
      <c r="S536" s="6"/>
      <c r="T536" s="6"/>
      <c r="U536" s="121">
        <f t="shared" si="338"/>
        <v>472</v>
      </c>
      <c r="V536" s="121">
        <f t="shared" si="339"/>
        <v>108</v>
      </c>
      <c r="W536" s="6"/>
      <c r="X536" s="6"/>
      <c r="Y536" s="6"/>
      <c r="Z536" s="6"/>
      <c r="AA536" s="19">
        <f t="shared" si="340"/>
        <v>98077</v>
      </c>
      <c r="AB536" s="19">
        <f t="shared" si="341"/>
        <v>105690</v>
      </c>
      <c r="AC536" s="15">
        <f t="shared" si="343"/>
        <v>197.92</v>
      </c>
      <c r="AD536" s="15">
        <f t="shared" si="344"/>
        <v>105689.28</v>
      </c>
      <c r="AE536" s="25"/>
      <c r="AF536" s="157">
        <f t="shared" si="345"/>
        <v>-0.72</v>
      </c>
    </row>
    <row r="537" spans="1:32" s="4" customFormat="1" x14ac:dyDescent="0.25">
      <c r="A537" s="64" t="s">
        <v>486</v>
      </c>
      <c r="B537" s="55" t="s">
        <v>487</v>
      </c>
      <c r="C537" s="16" t="s">
        <v>72</v>
      </c>
      <c r="D537" s="13">
        <v>106</v>
      </c>
      <c r="E537" s="14">
        <f t="shared" si="342"/>
        <v>278.39</v>
      </c>
      <c r="F537" s="14"/>
      <c r="G537" s="14"/>
      <c r="H537" s="22">
        <v>29509</v>
      </c>
      <c r="I537" s="15"/>
      <c r="J537" s="15"/>
      <c r="K537" s="15"/>
      <c r="L537" s="15"/>
      <c r="M537" s="22"/>
      <c r="N537" s="22"/>
      <c r="O537" s="22">
        <f t="shared" si="334"/>
        <v>269122</v>
      </c>
      <c r="P537" s="19">
        <f t="shared" si="335"/>
        <v>11034</v>
      </c>
      <c r="Q537" s="19">
        <f t="shared" si="336"/>
        <v>280156</v>
      </c>
      <c r="R537" s="6">
        <f t="shared" si="337"/>
        <v>1961</v>
      </c>
      <c r="S537" s="6"/>
      <c r="T537" s="6"/>
      <c r="U537" s="121">
        <f t="shared" si="338"/>
        <v>1366</v>
      </c>
      <c r="V537" s="121">
        <f t="shared" si="339"/>
        <v>314</v>
      </c>
      <c r="W537" s="6"/>
      <c r="X537" s="6"/>
      <c r="Y537" s="6"/>
      <c r="Z537" s="6"/>
      <c r="AA537" s="19">
        <f t="shared" si="340"/>
        <v>283797</v>
      </c>
      <c r="AB537" s="19">
        <f t="shared" si="341"/>
        <v>305825</v>
      </c>
      <c r="AC537" s="15">
        <f t="shared" si="343"/>
        <v>2885.14</v>
      </c>
      <c r="AD537" s="15">
        <f t="shared" si="344"/>
        <v>305824.84000000003</v>
      </c>
      <c r="AE537" s="25"/>
      <c r="AF537" s="157">
        <f t="shared" si="345"/>
        <v>-0.16</v>
      </c>
    </row>
    <row r="538" spans="1:32" s="4" customFormat="1" x14ac:dyDescent="0.25">
      <c r="A538" s="64" t="s">
        <v>488</v>
      </c>
      <c r="B538" s="55" t="s">
        <v>489</v>
      </c>
      <c r="C538" s="16" t="s">
        <v>83</v>
      </c>
      <c r="D538" s="13">
        <v>1</v>
      </c>
      <c r="E538" s="14">
        <f t="shared" si="342"/>
        <v>20424</v>
      </c>
      <c r="F538" s="14"/>
      <c r="G538" s="14"/>
      <c r="H538" s="22">
        <v>20424</v>
      </c>
      <c r="I538" s="15"/>
      <c r="J538" s="15"/>
      <c r="K538" s="15"/>
      <c r="L538" s="15"/>
      <c r="M538" s="22"/>
      <c r="N538" s="22"/>
      <c r="O538" s="22">
        <f t="shared" si="334"/>
        <v>186267</v>
      </c>
      <c r="P538" s="19">
        <f t="shared" si="335"/>
        <v>7637</v>
      </c>
      <c r="Q538" s="19">
        <f t="shared" si="336"/>
        <v>193904</v>
      </c>
      <c r="R538" s="6">
        <f t="shared" si="337"/>
        <v>1357</v>
      </c>
      <c r="S538" s="6"/>
      <c r="T538" s="6"/>
      <c r="U538" s="121">
        <f t="shared" si="338"/>
        <v>946</v>
      </c>
      <c r="V538" s="121">
        <f t="shared" si="339"/>
        <v>217</v>
      </c>
      <c r="W538" s="6"/>
      <c r="X538" s="6"/>
      <c r="Y538" s="6"/>
      <c r="Z538" s="6"/>
      <c r="AA538" s="19">
        <f t="shared" si="340"/>
        <v>196424</v>
      </c>
      <c r="AB538" s="19">
        <f t="shared" si="341"/>
        <v>211670</v>
      </c>
      <c r="AC538" s="15">
        <f t="shared" si="343"/>
        <v>211670</v>
      </c>
      <c r="AD538" s="15">
        <f t="shared" si="344"/>
        <v>211670</v>
      </c>
      <c r="AE538" s="25"/>
      <c r="AF538" s="157">
        <f t="shared" si="345"/>
        <v>0</v>
      </c>
    </row>
    <row r="539" spans="1:32" s="4" customFormat="1" x14ac:dyDescent="0.25">
      <c r="A539" s="64" t="s">
        <v>490</v>
      </c>
      <c r="B539" s="55" t="s">
        <v>491</v>
      </c>
      <c r="C539" s="16" t="s">
        <v>311</v>
      </c>
      <c r="D539" s="13">
        <v>6.4</v>
      </c>
      <c r="E539" s="14">
        <f t="shared" si="342"/>
        <v>45576.56</v>
      </c>
      <c r="F539" s="14"/>
      <c r="G539" s="14"/>
      <c r="H539" s="22">
        <v>291690</v>
      </c>
      <c r="I539" s="15"/>
      <c r="J539" s="15"/>
      <c r="K539" s="15"/>
      <c r="L539" s="15"/>
      <c r="M539" s="22"/>
      <c r="N539" s="22"/>
      <c r="O539" s="22">
        <f t="shared" si="334"/>
        <v>2660213</v>
      </c>
      <c r="P539" s="19">
        <f t="shared" si="335"/>
        <v>109069</v>
      </c>
      <c r="Q539" s="19">
        <f t="shared" si="336"/>
        <v>2769282</v>
      </c>
      <c r="R539" s="6">
        <f t="shared" si="337"/>
        <v>19385</v>
      </c>
      <c r="S539" s="6"/>
      <c r="T539" s="6"/>
      <c r="U539" s="121">
        <f t="shared" si="338"/>
        <v>13507</v>
      </c>
      <c r="V539" s="121">
        <f t="shared" si="339"/>
        <v>3100</v>
      </c>
      <c r="W539" s="6"/>
      <c r="X539" s="6"/>
      <c r="Y539" s="6"/>
      <c r="Z539" s="6"/>
      <c r="AA539" s="19">
        <f t="shared" si="340"/>
        <v>2805274</v>
      </c>
      <c r="AB539" s="19">
        <f t="shared" si="341"/>
        <v>3023019</v>
      </c>
      <c r="AC539" s="15">
        <f t="shared" si="343"/>
        <v>472346.72</v>
      </c>
      <c r="AD539" s="15">
        <f t="shared" si="344"/>
        <v>3023019.01</v>
      </c>
      <c r="AE539" s="25"/>
      <c r="AF539" s="157">
        <f t="shared" si="345"/>
        <v>0.01</v>
      </c>
    </row>
    <row r="540" spans="1:32" s="43" customFormat="1" x14ac:dyDescent="0.25">
      <c r="A540" s="23" t="s">
        <v>492</v>
      </c>
      <c r="B540" s="17" t="s">
        <v>7</v>
      </c>
      <c r="C540" s="231"/>
      <c r="D540" s="232"/>
      <c r="E540" s="14"/>
      <c r="F540" s="14"/>
      <c r="G540" s="14"/>
      <c r="H540" s="22"/>
      <c r="I540" s="15"/>
      <c r="J540" s="15"/>
      <c r="K540" s="15"/>
      <c r="L540" s="15"/>
      <c r="M540" s="22"/>
      <c r="N540" s="22"/>
      <c r="O540" s="22"/>
      <c r="P540" s="19"/>
      <c r="Q540" s="19"/>
      <c r="R540" s="6"/>
      <c r="S540" s="6"/>
      <c r="T540" s="6"/>
      <c r="U540" s="121"/>
      <c r="V540" s="121"/>
      <c r="W540" s="6"/>
      <c r="X540" s="6"/>
      <c r="Y540" s="6"/>
      <c r="Z540" s="6"/>
      <c r="AA540" s="19"/>
      <c r="AB540" s="19"/>
      <c r="AC540" s="15"/>
      <c r="AD540" s="15"/>
      <c r="AE540" s="25"/>
      <c r="AF540" s="157">
        <f t="shared" si="345"/>
        <v>0</v>
      </c>
    </row>
    <row r="541" spans="1:32" s="43" customFormat="1" ht="25.5" x14ac:dyDescent="0.25">
      <c r="A541" s="23" t="s">
        <v>493</v>
      </c>
      <c r="B541" s="17" t="s">
        <v>130</v>
      </c>
      <c r="C541" s="231"/>
      <c r="D541" s="232"/>
      <c r="E541" s="14"/>
      <c r="F541" s="14"/>
      <c r="G541" s="14"/>
      <c r="H541" s="22"/>
      <c r="I541" s="15"/>
      <c r="J541" s="15"/>
      <c r="K541" s="15"/>
      <c r="L541" s="15"/>
      <c r="M541" s="22"/>
      <c r="N541" s="22"/>
      <c r="O541" s="22"/>
      <c r="P541" s="19"/>
      <c r="Q541" s="19"/>
      <c r="R541" s="6"/>
      <c r="S541" s="6"/>
      <c r="T541" s="6"/>
      <c r="U541" s="121"/>
      <c r="V541" s="121"/>
      <c r="W541" s="6"/>
      <c r="X541" s="6"/>
      <c r="Y541" s="6"/>
      <c r="Z541" s="6"/>
      <c r="AA541" s="19"/>
      <c r="AB541" s="19"/>
      <c r="AC541" s="15"/>
      <c r="AD541" s="15"/>
      <c r="AE541" s="25"/>
      <c r="AF541" s="157">
        <f t="shared" si="345"/>
        <v>0</v>
      </c>
    </row>
    <row r="542" spans="1:32" s="4" customFormat="1" x14ac:dyDescent="0.25">
      <c r="A542" s="64" t="s">
        <v>494</v>
      </c>
      <c r="B542" s="55" t="s">
        <v>422</v>
      </c>
      <c r="C542" s="16" t="s">
        <v>70</v>
      </c>
      <c r="D542" s="13">
        <f>2097+209.7</f>
        <v>2306.6999999999998</v>
      </c>
      <c r="E542" s="14">
        <f t="shared" ref="E542:E551" si="346">H542/D542</f>
        <v>105.97</v>
      </c>
      <c r="F542" s="14"/>
      <c r="G542" s="14"/>
      <c r="H542" s="22">
        <v>244437</v>
      </c>
      <c r="I542" s="15"/>
      <c r="J542" s="15"/>
      <c r="K542" s="15"/>
      <c r="L542" s="15"/>
      <c r="M542" s="22"/>
      <c r="N542" s="22"/>
      <c r="O542" s="22">
        <f t="shared" si="334"/>
        <v>2229265</v>
      </c>
      <c r="P542" s="19">
        <f t="shared" si="335"/>
        <v>91400</v>
      </c>
      <c r="Q542" s="19">
        <f t="shared" si="336"/>
        <v>2320665</v>
      </c>
      <c r="R542" s="6">
        <f t="shared" si="337"/>
        <v>16245</v>
      </c>
      <c r="S542" s="6"/>
      <c r="T542" s="6"/>
      <c r="U542" s="121">
        <f t="shared" si="338"/>
        <v>11319</v>
      </c>
      <c r="V542" s="121">
        <f t="shared" si="339"/>
        <v>2598</v>
      </c>
      <c r="W542" s="6"/>
      <c r="X542" s="6"/>
      <c r="Y542" s="6"/>
      <c r="Z542" s="6"/>
      <c r="AA542" s="19">
        <f t="shared" si="340"/>
        <v>2350827</v>
      </c>
      <c r="AB542" s="19">
        <f t="shared" si="341"/>
        <v>2533298</v>
      </c>
      <c r="AC542" s="15">
        <f t="shared" ref="AC542:AC551" si="347">AB542/D542</f>
        <v>1098.23</v>
      </c>
      <c r="AD542" s="15">
        <f t="shared" ref="AD542:AD551" si="348">AC542*D542</f>
        <v>2533287.14</v>
      </c>
      <c r="AE542" s="25"/>
      <c r="AF542" s="157">
        <f t="shared" si="345"/>
        <v>-10.86</v>
      </c>
    </row>
    <row r="543" spans="1:32" s="4" customFormat="1" x14ac:dyDescent="0.25">
      <c r="A543" s="64" t="s">
        <v>495</v>
      </c>
      <c r="B543" s="55" t="s">
        <v>496</v>
      </c>
      <c r="C543" s="16" t="s">
        <v>468</v>
      </c>
      <c r="D543" s="13">
        <f>136.11</f>
        <v>136.11000000000001</v>
      </c>
      <c r="E543" s="14">
        <f t="shared" si="346"/>
        <v>6631.53</v>
      </c>
      <c r="F543" s="14"/>
      <c r="G543" s="14"/>
      <c r="H543" s="22">
        <v>902617</v>
      </c>
      <c r="I543" s="15"/>
      <c r="J543" s="15"/>
      <c r="K543" s="15"/>
      <c r="L543" s="15"/>
      <c r="M543" s="22"/>
      <c r="N543" s="22"/>
      <c r="O543" s="22">
        <f t="shared" si="334"/>
        <v>8231867</v>
      </c>
      <c r="P543" s="19">
        <f t="shared" si="335"/>
        <v>337507</v>
      </c>
      <c r="Q543" s="19">
        <f t="shared" si="336"/>
        <v>8569374</v>
      </c>
      <c r="R543" s="6">
        <f t="shared" si="337"/>
        <v>59986</v>
      </c>
      <c r="S543" s="6"/>
      <c r="T543" s="6"/>
      <c r="U543" s="121">
        <f t="shared" si="338"/>
        <v>41797</v>
      </c>
      <c r="V543" s="121">
        <f t="shared" si="339"/>
        <v>9593</v>
      </c>
      <c r="W543" s="6"/>
      <c r="X543" s="6"/>
      <c r="Y543" s="6"/>
      <c r="Z543" s="6"/>
      <c r="AA543" s="19">
        <f t="shared" si="340"/>
        <v>8680750</v>
      </c>
      <c r="AB543" s="19">
        <f t="shared" si="341"/>
        <v>9354550</v>
      </c>
      <c r="AC543" s="15">
        <f t="shared" si="347"/>
        <v>68727.87</v>
      </c>
      <c r="AD543" s="15">
        <f t="shared" si="348"/>
        <v>9354550.3900000006</v>
      </c>
      <c r="AE543" s="25"/>
      <c r="AF543" s="157">
        <f t="shared" si="345"/>
        <v>0.39</v>
      </c>
    </row>
    <row r="544" spans="1:32" s="4" customFormat="1" ht="25.5" x14ac:dyDescent="0.25">
      <c r="A544" s="64" t="s">
        <v>497</v>
      </c>
      <c r="B544" s="55" t="s">
        <v>743</v>
      </c>
      <c r="C544" s="16" t="s">
        <v>72</v>
      </c>
      <c r="D544" s="13">
        <v>175</v>
      </c>
      <c r="E544" s="14">
        <f t="shared" si="346"/>
        <v>7.55</v>
      </c>
      <c r="F544" s="14"/>
      <c r="G544" s="14"/>
      <c r="H544" s="22">
        <v>1322</v>
      </c>
      <c r="I544" s="15"/>
      <c r="J544" s="15"/>
      <c r="K544" s="15"/>
      <c r="L544" s="15"/>
      <c r="M544" s="22"/>
      <c r="N544" s="22"/>
      <c r="O544" s="22">
        <f t="shared" si="334"/>
        <v>12057</v>
      </c>
      <c r="P544" s="19">
        <f t="shared" si="335"/>
        <v>494</v>
      </c>
      <c r="Q544" s="19">
        <f t="shared" si="336"/>
        <v>12551</v>
      </c>
      <c r="R544" s="6">
        <f t="shared" si="337"/>
        <v>88</v>
      </c>
      <c r="S544" s="6"/>
      <c r="T544" s="6"/>
      <c r="U544" s="121">
        <f t="shared" si="338"/>
        <v>61</v>
      </c>
      <c r="V544" s="121">
        <f t="shared" si="339"/>
        <v>14</v>
      </c>
      <c r="W544" s="6"/>
      <c r="X544" s="6"/>
      <c r="Y544" s="6"/>
      <c r="Z544" s="6"/>
      <c r="AA544" s="19">
        <f t="shared" si="340"/>
        <v>12714</v>
      </c>
      <c r="AB544" s="19">
        <f t="shared" si="341"/>
        <v>13701</v>
      </c>
      <c r="AC544" s="15">
        <f t="shared" si="347"/>
        <v>78.290000000000006</v>
      </c>
      <c r="AD544" s="15">
        <f t="shared" si="348"/>
        <v>13700.75</v>
      </c>
      <c r="AE544" s="25"/>
      <c r="AF544" s="157">
        <f t="shared" si="345"/>
        <v>-0.25</v>
      </c>
    </row>
    <row r="545" spans="1:32" s="4" customFormat="1" x14ac:dyDescent="0.25">
      <c r="A545" s="64" t="s">
        <v>498</v>
      </c>
      <c r="B545" s="55" t="s">
        <v>434</v>
      </c>
      <c r="C545" s="16" t="s">
        <v>72</v>
      </c>
      <c r="D545" s="13">
        <v>193.9</v>
      </c>
      <c r="E545" s="14">
        <f t="shared" si="346"/>
        <v>69.150000000000006</v>
      </c>
      <c r="F545" s="14"/>
      <c r="G545" s="14"/>
      <c r="H545" s="22">
        <v>13408</v>
      </c>
      <c r="I545" s="15"/>
      <c r="J545" s="15"/>
      <c r="K545" s="15"/>
      <c r="L545" s="15"/>
      <c r="M545" s="22"/>
      <c r="N545" s="22"/>
      <c r="O545" s="22">
        <f t="shared" si="334"/>
        <v>122281</v>
      </c>
      <c r="P545" s="19">
        <f t="shared" si="335"/>
        <v>5014</v>
      </c>
      <c r="Q545" s="19">
        <f t="shared" si="336"/>
        <v>127295</v>
      </c>
      <c r="R545" s="6">
        <f t="shared" si="337"/>
        <v>891</v>
      </c>
      <c r="S545" s="6"/>
      <c r="T545" s="6"/>
      <c r="U545" s="121">
        <f t="shared" si="338"/>
        <v>621</v>
      </c>
      <c r="V545" s="121">
        <f t="shared" si="339"/>
        <v>143</v>
      </c>
      <c r="W545" s="6"/>
      <c r="X545" s="6"/>
      <c r="Y545" s="6"/>
      <c r="Z545" s="6"/>
      <c r="AA545" s="19">
        <f t="shared" si="340"/>
        <v>128950</v>
      </c>
      <c r="AB545" s="19">
        <f t="shared" si="341"/>
        <v>138959</v>
      </c>
      <c r="AC545" s="15">
        <f t="shared" si="347"/>
        <v>716.65</v>
      </c>
      <c r="AD545" s="15">
        <f t="shared" si="348"/>
        <v>138958.44</v>
      </c>
      <c r="AE545" s="25"/>
      <c r="AF545" s="157">
        <f t="shared" si="345"/>
        <v>-0.56000000000000005</v>
      </c>
    </row>
    <row r="546" spans="1:32" s="4" customFormat="1" x14ac:dyDescent="0.25">
      <c r="A546" s="64" t="s">
        <v>499</v>
      </c>
      <c r="B546" s="55" t="s">
        <v>132</v>
      </c>
      <c r="C546" s="16" t="s">
        <v>70</v>
      </c>
      <c r="D546" s="13">
        <v>4.87</v>
      </c>
      <c r="E546" s="14">
        <f t="shared" si="346"/>
        <v>5445.59</v>
      </c>
      <c r="F546" s="14"/>
      <c r="G546" s="14"/>
      <c r="H546" s="22">
        <v>26520</v>
      </c>
      <c r="I546" s="15"/>
      <c r="J546" s="15"/>
      <c r="K546" s="15"/>
      <c r="L546" s="15"/>
      <c r="M546" s="22"/>
      <c r="N546" s="22"/>
      <c r="O546" s="22">
        <f t="shared" si="334"/>
        <v>241862</v>
      </c>
      <c r="P546" s="19">
        <f t="shared" si="335"/>
        <v>9916</v>
      </c>
      <c r="Q546" s="19">
        <f t="shared" si="336"/>
        <v>251778</v>
      </c>
      <c r="R546" s="6">
        <f t="shared" si="337"/>
        <v>1762</v>
      </c>
      <c r="S546" s="6"/>
      <c r="T546" s="6"/>
      <c r="U546" s="121">
        <f t="shared" si="338"/>
        <v>1228</v>
      </c>
      <c r="V546" s="121">
        <f t="shared" si="339"/>
        <v>282</v>
      </c>
      <c r="W546" s="6"/>
      <c r="X546" s="6"/>
      <c r="Y546" s="6"/>
      <c r="Z546" s="6"/>
      <c r="AA546" s="19">
        <f t="shared" si="340"/>
        <v>255050</v>
      </c>
      <c r="AB546" s="19">
        <f t="shared" si="341"/>
        <v>274847</v>
      </c>
      <c r="AC546" s="15">
        <f t="shared" si="347"/>
        <v>56436.76</v>
      </c>
      <c r="AD546" s="15">
        <f t="shared" si="348"/>
        <v>274847.02</v>
      </c>
      <c r="AE546" s="25"/>
      <c r="AF546" s="157">
        <f t="shared" si="345"/>
        <v>0.02</v>
      </c>
    </row>
    <row r="547" spans="1:32" s="4" customFormat="1" ht="25.5" x14ac:dyDescent="0.25">
      <c r="A547" s="64" t="s">
        <v>500</v>
      </c>
      <c r="B547" s="55" t="s">
        <v>501</v>
      </c>
      <c r="C547" s="16" t="s">
        <v>72</v>
      </c>
      <c r="D547" s="13">
        <f>81+46.8+26.4</f>
        <v>154.19999999999999</v>
      </c>
      <c r="E547" s="14">
        <f t="shared" si="346"/>
        <v>171.79</v>
      </c>
      <c r="F547" s="14"/>
      <c r="G547" s="14"/>
      <c r="H547" s="22">
        <v>26490</v>
      </c>
      <c r="I547" s="15"/>
      <c r="J547" s="15"/>
      <c r="K547" s="15"/>
      <c r="L547" s="15"/>
      <c r="M547" s="22"/>
      <c r="N547" s="22"/>
      <c r="O547" s="22">
        <f t="shared" si="334"/>
        <v>241589</v>
      </c>
      <c r="P547" s="19">
        <f t="shared" si="335"/>
        <v>9905</v>
      </c>
      <c r="Q547" s="19">
        <f t="shared" si="336"/>
        <v>251494</v>
      </c>
      <c r="R547" s="6">
        <f t="shared" si="337"/>
        <v>1760</v>
      </c>
      <c r="S547" s="6"/>
      <c r="T547" s="6"/>
      <c r="U547" s="121">
        <f t="shared" si="338"/>
        <v>1227</v>
      </c>
      <c r="V547" s="121">
        <f t="shared" si="339"/>
        <v>282</v>
      </c>
      <c r="W547" s="6"/>
      <c r="X547" s="6"/>
      <c r="Y547" s="6"/>
      <c r="Z547" s="6"/>
      <c r="AA547" s="19">
        <f t="shared" si="340"/>
        <v>254763</v>
      </c>
      <c r="AB547" s="19">
        <f t="shared" si="341"/>
        <v>274538</v>
      </c>
      <c r="AC547" s="15">
        <f t="shared" si="347"/>
        <v>1780.4</v>
      </c>
      <c r="AD547" s="15">
        <f t="shared" si="348"/>
        <v>274537.68</v>
      </c>
      <c r="AE547" s="25"/>
      <c r="AF547" s="157">
        <f t="shared" si="345"/>
        <v>-0.32</v>
      </c>
    </row>
    <row r="548" spans="1:32" s="4" customFormat="1" ht="25.5" x14ac:dyDescent="0.25">
      <c r="A548" s="64" t="s">
        <v>502</v>
      </c>
      <c r="B548" s="55" t="s">
        <v>503</v>
      </c>
      <c r="C548" s="16" t="s">
        <v>72</v>
      </c>
      <c r="D548" s="13">
        <f>70.6</f>
        <v>70.599999999999994</v>
      </c>
      <c r="E548" s="14">
        <f t="shared" si="346"/>
        <v>187.93</v>
      </c>
      <c r="F548" s="14"/>
      <c r="G548" s="14"/>
      <c r="H548" s="22">
        <v>13268</v>
      </c>
      <c r="I548" s="15"/>
      <c r="J548" s="15"/>
      <c r="K548" s="15"/>
      <c r="L548" s="15"/>
      <c r="M548" s="22"/>
      <c r="N548" s="22"/>
      <c r="O548" s="22">
        <f t="shared" si="334"/>
        <v>121004</v>
      </c>
      <c r="P548" s="19">
        <f t="shared" si="335"/>
        <v>4961</v>
      </c>
      <c r="Q548" s="19">
        <f t="shared" si="336"/>
        <v>125965</v>
      </c>
      <c r="R548" s="6">
        <f t="shared" si="337"/>
        <v>882</v>
      </c>
      <c r="S548" s="6"/>
      <c r="T548" s="6"/>
      <c r="U548" s="121">
        <f t="shared" si="338"/>
        <v>614</v>
      </c>
      <c r="V548" s="121">
        <f t="shared" si="339"/>
        <v>141</v>
      </c>
      <c r="W548" s="6"/>
      <c r="X548" s="6"/>
      <c r="Y548" s="6"/>
      <c r="Z548" s="6"/>
      <c r="AA548" s="19">
        <f t="shared" si="340"/>
        <v>127602</v>
      </c>
      <c r="AB548" s="19">
        <f t="shared" si="341"/>
        <v>137506</v>
      </c>
      <c r="AC548" s="15">
        <f t="shared" si="347"/>
        <v>1947.68</v>
      </c>
      <c r="AD548" s="15">
        <f t="shared" si="348"/>
        <v>137506.21</v>
      </c>
      <c r="AE548" s="25"/>
      <c r="AF548" s="157">
        <f t="shared" si="345"/>
        <v>0.21</v>
      </c>
    </row>
    <row r="549" spans="1:32" s="4" customFormat="1" x14ac:dyDescent="0.25">
      <c r="A549" s="64" t="s">
        <v>504</v>
      </c>
      <c r="B549" s="55" t="s">
        <v>505</v>
      </c>
      <c r="C549" s="16" t="s">
        <v>70</v>
      </c>
      <c r="D549" s="13">
        <f>5.4+3.6</f>
        <v>9</v>
      </c>
      <c r="E549" s="14">
        <f t="shared" si="346"/>
        <v>1148.56</v>
      </c>
      <c r="F549" s="14"/>
      <c r="G549" s="14"/>
      <c r="H549" s="22">
        <v>10337</v>
      </c>
      <c r="I549" s="15"/>
      <c r="J549" s="15"/>
      <c r="K549" s="15"/>
      <c r="L549" s="15"/>
      <c r="M549" s="22"/>
      <c r="N549" s="22"/>
      <c r="O549" s="22">
        <f t="shared" si="334"/>
        <v>94273</v>
      </c>
      <c r="P549" s="19">
        <f t="shared" si="335"/>
        <v>3865</v>
      </c>
      <c r="Q549" s="19">
        <f t="shared" si="336"/>
        <v>98138</v>
      </c>
      <c r="R549" s="6">
        <f t="shared" si="337"/>
        <v>687</v>
      </c>
      <c r="S549" s="6"/>
      <c r="T549" s="6"/>
      <c r="U549" s="121">
        <f t="shared" si="338"/>
        <v>479</v>
      </c>
      <c r="V549" s="121">
        <f t="shared" si="339"/>
        <v>110</v>
      </c>
      <c r="W549" s="6"/>
      <c r="X549" s="6"/>
      <c r="Y549" s="6"/>
      <c r="Z549" s="6"/>
      <c r="AA549" s="19">
        <f t="shared" si="340"/>
        <v>99414</v>
      </c>
      <c r="AB549" s="19">
        <f t="shared" si="341"/>
        <v>107131</v>
      </c>
      <c r="AC549" s="15">
        <f t="shared" si="347"/>
        <v>11903.44</v>
      </c>
      <c r="AD549" s="15">
        <f t="shared" si="348"/>
        <v>107130.96</v>
      </c>
      <c r="AE549" s="25"/>
      <c r="AF549" s="157">
        <f t="shared" si="345"/>
        <v>-0.04</v>
      </c>
    </row>
    <row r="550" spans="1:32" s="4" customFormat="1" x14ac:dyDescent="0.25">
      <c r="A550" s="64" t="s">
        <v>506</v>
      </c>
      <c r="B550" s="55" t="s">
        <v>507</v>
      </c>
      <c r="C550" s="16" t="s">
        <v>72</v>
      </c>
      <c r="D550" s="13">
        <v>16</v>
      </c>
      <c r="E550" s="14">
        <f t="shared" si="346"/>
        <v>184.63</v>
      </c>
      <c r="F550" s="14"/>
      <c r="G550" s="14"/>
      <c r="H550" s="22">
        <v>2954</v>
      </c>
      <c r="I550" s="15"/>
      <c r="J550" s="15"/>
      <c r="K550" s="15"/>
      <c r="L550" s="15"/>
      <c r="M550" s="22"/>
      <c r="N550" s="22"/>
      <c r="O550" s="22">
        <f t="shared" si="334"/>
        <v>26940</v>
      </c>
      <c r="P550" s="19">
        <f t="shared" si="335"/>
        <v>1105</v>
      </c>
      <c r="Q550" s="19">
        <f t="shared" si="336"/>
        <v>28045</v>
      </c>
      <c r="R550" s="6">
        <f t="shared" si="337"/>
        <v>196</v>
      </c>
      <c r="S550" s="6"/>
      <c r="T550" s="6"/>
      <c r="U550" s="121">
        <f t="shared" si="338"/>
        <v>137</v>
      </c>
      <c r="V550" s="121">
        <f t="shared" si="339"/>
        <v>31</v>
      </c>
      <c r="W550" s="6"/>
      <c r="X550" s="6"/>
      <c r="Y550" s="6"/>
      <c r="Z550" s="6"/>
      <c r="AA550" s="19">
        <f t="shared" si="340"/>
        <v>28409</v>
      </c>
      <c r="AB550" s="19">
        <f t="shared" si="341"/>
        <v>30614</v>
      </c>
      <c r="AC550" s="15">
        <f t="shared" si="347"/>
        <v>1913.38</v>
      </c>
      <c r="AD550" s="15">
        <f t="shared" si="348"/>
        <v>30614.080000000002</v>
      </c>
      <c r="AE550" s="25"/>
      <c r="AF550" s="157">
        <f t="shared" si="345"/>
        <v>0.08</v>
      </c>
    </row>
    <row r="551" spans="1:32" s="4" customFormat="1" x14ac:dyDescent="0.25">
      <c r="A551" s="64" t="s">
        <v>508</v>
      </c>
      <c r="B551" s="55" t="s">
        <v>509</v>
      </c>
      <c r="C551" s="16" t="s">
        <v>70</v>
      </c>
      <c r="D551" s="13">
        <v>2.1</v>
      </c>
      <c r="E551" s="14">
        <f t="shared" si="346"/>
        <v>290</v>
      </c>
      <c r="F551" s="14"/>
      <c r="G551" s="14"/>
      <c r="H551" s="22">
        <v>609</v>
      </c>
      <c r="I551" s="15"/>
      <c r="J551" s="15"/>
      <c r="K551" s="15"/>
      <c r="L551" s="15"/>
      <c r="M551" s="22"/>
      <c r="N551" s="22"/>
      <c r="O551" s="22">
        <f t="shared" si="334"/>
        <v>5554</v>
      </c>
      <c r="P551" s="19">
        <f t="shared" si="335"/>
        <v>228</v>
      </c>
      <c r="Q551" s="19">
        <f t="shared" si="336"/>
        <v>5782</v>
      </c>
      <c r="R551" s="6">
        <f t="shared" si="337"/>
        <v>40</v>
      </c>
      <c r="S551" s="6"/>
      <c r="T551" s="6"/>
      <c r="U551" s="121">
        <f t="shared" si="338"/>
        <v>28</v>
      </c>
      <c r="V551" s="121">
        <f t="shared" si="339"/>
        <v>6</v>
      </c>
      <c r="W551" s="6"/>
      <c r="X551" s="6"/>
      <c r="Y551" s="6"/>
      <c r="Z551" s="6"/>
      <c r="AA551" s="19">
        <f t="shared" si="340"/>
        <v>5856</v>
      </c>
      <c r="AB551" s="19">
        <f t="shared" si="341"/>
        <v>6311</v>
      </c>
      <c r="AC551" s="15">
        <f t="shared" si="347"/>
        <v>3005.24</v>
      </c>
      <c r="AD551" s="15">
        <f t="shared" si="348"/>
        <v>6311</v>
      </c>
      <c r="AE551" s="25"/>
      <c r="AF551" s="157">
        <f t="shared" si="345"/>
        <v>0</v>
      </c>
    </row>
    <row r="552" spans="1:32" s="43" customFormat="1" ht="25.5" x14ac:dyDescent="0.25">
      <c r="A552" s="23" t="s">
        <v>510</v>
      </c>
      <c r="B552" s="17" t="s">
        <v>511</v>
      </c>
      <c r="C552" s="231"/>
      <c r="D552" s="232"/>
      <c r="E552" s="14"/>
      <c r="F552" s="14"/>
      <c r="G552" s="14"/>
      <c r="H552" s="22"/>
      <c r="I552" s="15"/>
      <c r="J552" s="15"/>
      <c r="K552" s="15"/>
      <c r="L552" s="15"/>
      <c r="M552" s="22"/>
      <c r="N552" s="22"/>
      <c r="O552" s="22"/>
      <c r="P552" s="19"/>
      <c r="Q552" s="19"/>
      <c r="R552" s="6"/>
      <c r="S552" s="6"/>
      <c r="T552" s="6"/>
      <c r="U552" s="121"/>
      <c r="V552" s="121"/>
      <c r="W552" s="6"/>
      <c r="X552" s="6"/>
      <c r="Y552" s="6"/>
      <c r="Z552" s="6"/>
      <c r="AA552" s="19"/>
      <c r="AB552" s="19"/>
      <c r="AC552" s="15"/>
      <c r="AD552" s="15"/>
      <c r="AE552" s="25"/>
      <c r="AF552" s="157">
        <f t="shared" si="345"/>
        <v>0</v>
      </c>
    </row>
    <row r="553" spans="1:32" s="4" customFormat="1" x14ac:dyDescent="0.25">
      <c r="A553" s="64" t="s">
        <v>512</v>
      </c>
      <c r="B553" s="55" t="s">
        <v>422</v>
      </c>
      <c r="C553" s="16" t="s">
        <v>70</v>
      </c>
      <c r="D553" s="13">
        <f>1241.7+124.2</f>
        <v>1365.9</v>
      </c>
      <c r="E553" s="14">
        <f t="shared" ref="E553:E560" si="349">H553/D553</f>
        <v>110.05</v>
      </c>
      <c r="F553" s="14"/>
      <c r="G553" s="14"/>
      <c r="H553" s="22">
        <v>150319</v>
      </c>
      <c r="I553" s="15"/>
      <c r="J553" s="15"/>
      <c r="K553" s="15"/>
      <c r="L553" s="15"/>
      <c r="M553" s="22"/>
      <c r="N553" s="22"/>
      <c r="O553" s="22">
        <f t="shared" si="334"/>
        <v>1370909</v>
      </c>
      <c r="P553" s="19">
        <f t="shared" si="335"/>
        <v>56207</v>
      </c>
      <c r="Q553" s="19">
        <f t="shared" si="336"/>
        <v>1427116</v>
      </c>
      <c r="R553" s="6">
        <f t="shared" si="337"/>
        <v>9990</v>
      </c>
      <c r="S553" s="6"/>
      <c r="T553" s="6"/>
      <c r="U553" s="121">
        <f t="shared" si="338"/>
        <v>6961</v>
      </c>
      <c r="V553" s="121">
        <f t="shared" si="339"/>
        <v>1598</v>
      </c>
      <c r="W553" s="6"/>
      <c r="X553" s="6"/>
      <c r="Y553" s="6"/>
      <c r="Z553" s="6"/>
      <c r="AA553" s="19">
        <f t="shared" si="340"/>
        <v>1445665</v>
      </c>
      <c r="AB553" s="19">
        <f t="shared" si="341"/>
        <v>1557878</v>
      </c>
      <c r="AC553" s="15">
        <f t="shared" ref="AC553:AC560" si="350">AB553/D553</f>
        <v>1140.55</v>
      </c>
      <c r="AD553" s="15">
        <f t="shared" ref="AD553:AD560" si="351">AC553*D553</f>
        <v>1557877.25</v>
      </c>
      <c r="AE553" s="25"/>
      <c r="AF553" s="157">
        <f t="shared" si="345"/>
        <v>-0.75</v>
      </c>
    </row>
    <row r="554" spans="1:32" s="4" customFormat="1" x14ac:dyDescent="0.25">
      <c r="A554" s="64" t="s">
        <v>513</v>
      </c>
      <c r="B554" s="55" t="s">
        <v>496</v>
      </c>
      <c r="C554" s="16" t="s">
        <v>468</v>
      </c>
      <c r="D554" s="13">
        <v>227.2</v>
      </c>
      <c r="E554" s="14">
        <f t="shared" si="349"/>
        <v>10028.530000000001</v>
      </c>
      <c r="F554" s="14"/>
      <c r="G554" s="14"/>
      <c r="H554" s="22">
        <v>2278481</v>
      </c>
      <c r="I554" s="15"/>
      <c r="J554" s="15"/>
      <c r="K554" s="15"/>
      <c r="L554" s="15"/>
      <c r="M554" s="22"/>
      <c r="N554" s="22"/>
      <c r="O554" s="22">
        <f t="shared" si="334"/>
        <v>20779747</v>
      </c>
      <c r="P554" s="19">
        <f t="shared" si="335"/>
        <v>851970</v>
      </c>
      <c r="Q554" s="19">
        <f t="shared" si="336"/>
        <v>21631717</v>
      </c>
      <c r="R554" s="6">
        <f t="shared" si="337"/>
        <v>151422</v>
      </c>
      <c r="S554" s="6"/>
      <c r="T554" s="6"/>
      <c r="U554" s="121">
        <f t="shared" si="338"/>
        <v>105507</v>
      </c>
      <c r="V554" s="121">
        <f t="shared" si="339"/>
        <v>24216</v>
      </c>
      <c r="W554" s="6"/>
      <c r="X554" s="6"/>
      <c r="Y554" s="6"/>
      <c r="Z554" s="6"/>
      <c r="AA554" s="19">
        <f t="shared" si="340"/>
        <v>21912862</v>
      </c>
      <c r="AB554" s="19">
        <f t="shared" si="341"/>
        <v>23613738</v>
      </c>
      <c r="AC554" s="15">
        <f t="shared" si="350"/>
        <v>103933.71</v>
      </c>
      <c r="AD554" s="15">
        <f t="shared" si="351"/>
        <v>23613738.91</v>
      </c>
      <c r="AE554" s="25"/>
      <c r="AF554" s="157">
        <f t="shared" si="345"/>
        <v>0.91</v>
      </c>
    </row>
    <row r="555" spans="1:32" s="4" customFormat="1" x14ac:dyDescent="0.25">
      <c r="A555" s="64" t="s">
        <v>514</v>
      </c>
      <c r="B555" s="55" t="s">
        <v>132</v>
      </c>
      <c r="C555" s="16" t="s">
        <v>70</v>
      </c>
      <c r="D555" s="13">
        <v>11.4</v>
      </c>
      <c r="E555" s="14">
        <f t="shared" si="349"/>
        <v>5445.53</v>
      </c>
      <c r="F555" s="14"/>
      <c r="G555" s="14"/>
      <c r="H555" s="22">
        <v>62079</v>
      </c>
      <c r="I555" s="15"/>
      <c r="J555" s="15"/>
      <c r="K555" s="15"/>
      <c r="L555" s="15"/>
      <c r="M555" s="22"/>
      <c r="N555" s="22"/>
      <c r="O555" s="22">
        <f t="shared" si="334"/>
        <v>566160</v>
      </c>
      <c r="P555" s="19">
        <f t="shared" si="335"/>
        <v>23213</v>
      </c>
      <c r="Q555" s="19">
        <f t="shared" si="336"/>
        <v>589373</v>
      </c>
      <c r="R555" s="6">
        <f t="shared" si="337"/>
        <v>4126</v>
      </c>
      <c r="S555" s="6"/>
      <c r="T555" s="6"/>
      <c r="U555" s="121">
        <f t="shared" si="338"/>
        <v>2875</v>
      </c>
      <c r="V555" s="121">
        <f t="shared" si="339"/>
        <v>660</v>
      </c>
      <c r="W555" s="6"/>
      <c r="X555" s="6"/>
      <c r="Y555" s="6"/>
      <c r="Z555" s="6"/>
      <c r="AA555" s="19">
        <f t="shared" si="340"/>
        <v>597034</v>
      </c>
      <c r="AB555" s="19">
        <f t="shared" si="341"/>
        <v>643376</v>
      </c>
      <c r="AC555" s="15">
        <f t="shared" si="350"/>
        <v>56436.49</v>
      </c>
      <c r="AD555" s="15">
        <f t="shared" si="351"/>
        <v>643375.99</v>
      </c>
      <c r="AE555" s="25"/>
      <c r="AF555" s="157">
        <f t="shared" si="345"/>
        <v>-0.01</v>
      </c>
    </row>
    <row r="556" spans="1:32" s="4" customFormat="1" ht="25.5" x14ac:dyDescent="0.25">
      <c r="A556" s="64" t="s">
        <v>515</v>
      </c>
      <c r="B556" s="55" t="s">
        <v>501</v>
      </c>
      <c r="C556" s="16" t="s">
        <v>72</v>
      </c>
      <c r="D556" s="13">
        <f>60+42.4+23.2</f>
        <v>125.6</v>
      </c>
      <c r="E556" s="14">
        <f t="shared" si="349"/>
        <v>171.7</v>
      </c>
      <c r="F556" s="14"/>
      <c r="G556" s="14"/>
      <c r="H556" s="22">
        <v>21565</v>
      </c>
      <c r="I556" s="15"/>
      <c r="J556" s="15"/>
      <c r="K556" s="15"/>
      <c r="L556" s="15"/>
      <c r="M556" s="22"/>
      <c r="N556" s="22"/>
      <c r="O556" s="22">
        <f t="shared" si="334"/>
        <v>196673</v>
      </c>
      <c r="P556" s="19">
        <f t="shared" si="335"/>
        <v>8064</v>
      </c>
      <c r="Q556" s="19">
        <f t="shared" si="336"/>
        <v>204737</v>
      </c>
      <c r="R556" s="6">
        <f t="shared" si="337"/>
        <v>1433</v>
      </c>
      <c r="S556" s="6"/>
      <c r="T556" s="6"/>
      <c r="U556" s="121">
        <f t="shared" si="338"/>
        <v>999</v>
      </c>
      <c r="V556" s="121">
        <f t="shared" si="339"/>
        <v>229</v>
      </c>
      <c r="W556" s="6"/>
      <c r="X556" s="6"/>
      <c r="Y556" s="6"/>
      <c r="Z556" s="6"/>
      <c r="AA556" s="19">
        <f t="shared" si="340"/>
        <v>207398</v>
      </c>
      <c r="AB556" s="19">
        <f t="shared" si="341"/>
        <v>223496</v>
      </c>
      <c r="AC556" s="15">
        <f t="shared" si="350"/>
        <v>1779.43</v>
      </c>
      <c r="AD556" s="15">
        <f t="shared" si="351"/>
        <v>223496.41</v>
      </c>
      <c r="AE556" s="25"/>
      <c r="AF556" s="157">
        <f t="shared" si="345"/>
        <v>0.41</v>
      </c>
    </row>
    <row r="557" spans="1:32" s="4" customFormat="1" ht="25.5" x14ac:dyDescent="0.25">
      <c r="A557" s="64" t="s">
        <v>516</v>
      </c>
      <c r="B557" s="55" t="s">
        <v>503</v>
      </c>
      <c r="C557" s="16" t="s">
        <v>72</v>
      </c>
      <c r="D557" s="13">
        <f>62.8</f>
        <v>62.8</v>
      </c>
      <c r="E557" s="14">
        <f t="shared" si="349"/>
        <v>184.76</v>
      </c>
      <c r="F557" s="14"/>
      <c r="G557" s="14"/>
      <c r="H557" s="22">
        <v>11603</v>
      </c>
      <c r="I557" s="15"/>
      <c r="J557" s="15"/>
      <c r="K557" s="15"/>
      <c r="L557" s="15"/>
      <c r="M557" s="22"/>
      <c r="N557" s="22"/>
      <c r="O557" s="22">
        <f t="shared" si="334"/>
        <v>105819</v>
      </c>
      <c r="P557" s="19">
        <f t="shared" si="335"/>
        <v>4339</v>
      </c>
      <c r="Q557" s="19">
        <f t="shared" si="336"/>
        <v>110158</v>
      </c>
      <c r="R557" s="6">
        <f t="shared" si="337"/>
        <v>771</v>
      </c>
      <c r="S557" s="6"/>
      <c r="T557" s="6"/>
      <c r="U557" s="121">
        <f t="shared" si="338"/>
        <v>537</v>
      </c>
      <c r="V557" s="121">
        <f t="shared" si="339"/>
        <v>123</v>
      </c>
      <c r="W557" s="6"/>
      <c r="X557" s="6"/>
      <c r="Y557" s="6"/>
      <c r="Z557" s="6"/>
      <c r="AA557" s="19">
        <f t="shared" si="340"/>
        <v>111589</v>
      </c>
      <c r="AB557" s="19">
        <f t="shared" si="341"/>
        <v>120251</v>
      </c>
      <c r="AC557" s="15">
        <f t="shared" si="350"/>
        <v>1914.82</v>
      </c>
      <c r="AD557" s="15">
        <f t="shared" si="351"/>
        <v>120250.7</v>
      </c>
      <c r="AE557" s="25"/>
      <c r="AF557" s="157">
        <f t="shared" si="345"/>
        <v>-0.3</v>
      </c>
    </row>
    <row r="558" spans="1:32" s="4" customFormat="1" x14ac:dyDescent="0.25">
      <c r="A558" s="64" t="s">
        <v>517</v>
      </c>
      <c r="B558" s="55" t="s">
        <v>505</v>
      </c>
      <c r="C558" s="16" t="s">
        <v>70</v>
      </c>
      <c r="D558" s="13">
        <f>0.8+0.4</f>
        <v>1.2</v>
      </c>
      <c r="E558" s="14">
        <f t="shared" si="349"/>
        <v>1154.17</v>
      </c>
      <c r="F558" s="14"/>
      <c r="G558" s="14"/>
      <c r="H558" s="22">
        <v>1385</v>
      </c>
      <c r="I558" s="15"/>
      <c r="J558" s="15"/>
      <c r="K558" s="15"/>
      <c r="L558" s="15"/>
      <c r="M558" s="22"/>
      <c r="N558" s="22"/>
      <c r="O558" s="22">
        <f t="shared" si="334"/>
        <v>12631</v>
      </c>
      <c r="P558" s="19">
        <f t="shared" si="335"/>
        <v>518</v>
      </c>
      <c r="Q558" s="19">
        <f t="shared" si="336"/>
        <v>13149</v>
      </c>
      <c r="R558" s="6">
        <f t="shared" si="337"/>
        <v>92</v>
      </c>
      <c r="S558" s="6"/>
      <c r="T558" s="6"/>
      <c r="U558" s="121">
        <f t="shared" si="338"/>
        <v>64</v>
      </c>
      <c r="V558" s="121">
        <f t="shared" si="339"/>
        <v>15</v>
      </c>
      <c r="W558" s="6"/>
      <c r="X558" s="6"/>
      <c r="Y558" s="6"/>
      <c r="Z558" s="6"/>
      <c r="AA558" s="19">
        <f t="shared" si="340"/>
        <v>13320</v>
      </c>
      <c r="AB558" s="19">
        <f t="shared" si="341"/>
        <v>14354</v>
      </c>
      <c r="AC558" s="15">
        <f t="shared" si="350"/>
        <v>11961.67</v>
      </c>
      <c r="AD558" s="15">
        <f t="shared" si="351"/>
        <v>14354</v>
      </c>
      <c r="AE558" s="25"/>
      <c r="AF558" s="157">
        <f t="shared" si="345"/>
        <v>0</v>
      </c>
    </row>
    <row r="559" spans="1:32" s="4" customFormat="1" x14ac:dyDescent="0.25">
      <c r="A559" s="64" t="s">
        <v>518</v>
      </c>
      <c r="B559" s="55" t="s">
        <v>507</v>
      </c>
      <c r="C559" s="16" t="s">
        <v>72</v>
      </c>
      <c r="D559" s="13">
        <f>49.2</f>
        <v>49.2</v>
      </c>
      <c r="E559" s="14">
        <f t="shared" si="349"/>
        <v>180.57</v>
      </c>
      <c r="F559" s="14"/>
      <c r="G559" s="14"/>
      <c r="H559" s="22">
        <v>8884</v>
      </c>
      <c r="I559" s="15"/>
      <c r="J559" s="15"/>
      <c r="K559" s="15"/>
      <c r="L559" s="15"/>
      <c r="M559" s="22"/>
      <c r="N559" s="22"/>
      <c r="O559" s="22">
        <f t="shared" si="334"/>
        <v>81022</v>
      </c>
      <c r="P559" s="19">
        <f t="shared" si="335"/>
        <v>3322</v>
      </c>
      <c r="Q559" s="19">
        <f t="shared" si="336"/>
        <v>84344</v>
      </c>
      <c r="R559" s="6">
        <f t="shared" si="337"/>
        <v>590</v>
      </c>
      <c r="S559" s="6"/>
      <c r="T559" s="6"/>
      <c r="U559" s="121">
        <f t="shared" si="338"/>
        <v>411</v>
      </c>
      <c r="V559" s="121">
        <f t="shared" si="339"/>
        <v>94</v>
      </c>
      <c r="W559" s="6"/>
      <c r="X559" s="6"/>
      <c r="Y559" s="6"/>
      <c r="Z559" s="6"/>
      <c r="AA559" s="19">
        <f t="shared" si="340"/>
        <v>85439</v>
      </c>
      <c r="AB559" s="19">
        <f t="shared" si="341"/>
        <v>92071</v>
      </c>
      <c r="AC559" s="15">
        <f t="shared" si="350"/>
        <v>1871.36</v>
      </c>
      <c r="AD559" s="15">
        <f t="shared" si="351"/>
        <v>92070.91</v>
      </c>
      <c r="AE559" s="25"/>
      <c r="AF559" s="157">
        <f t="shared" si="345"/>
        <v>-0.09</v>
      </c>
    </row>
    <row r="560" spans="1:32" s="4" customFormat="1" x14ac:dyDescent="0.25">
      <c r="A560" s="64" t="s">
        <v>519</v>
      </c>
      <c r="B560" s="55" t="s">
        <v>509</v>
      </c>
      <c r="C560" s="16" t="s">
        <v>70</v>
      </c>
      <c r="D560" s="13">
        <v>7.4</v>
      </c>
      <c r="E560" s="14">
        <f t="shared" si="349"/>
        <v>290</v>
      </c>
      <c r="F560" s="14"/>
      <c r="G560" s="14"/>
      <c r="H560" s="22">
        <v>2146</v>
      </c>
      <c r="I560" s="15"/>
      <c r="J560" s="15"/>
      <c r="K560" s="15"/>
      <c r="L560" s="15"/>
      <c r="M560" s="22"/>
      <c r="N560" s="22"/>
      <c r="O560" s="22">
        <f t="shared" ref="O560" si="352">H560*9.12</f>
        <v>19572</v>
      </c>
      <c r="P560" s="19">
        <f t="shared" ref="P560" si="353">O560*4.1%</f>
        <v>802</v>
      </c>
      <c r="Q560" s="19">
        <f t="shared" ref="Q560" si="354">SUM(O560:P560)</f>
        <v>20374</v>
      </c>
      <c r="R560" s="6">
        <f t="shared" ref="R560" si="355">Q560*0.7%</f>
        <v>143</v>
      </c>
      <c r="S560" s="6"/>
      <c r="T560" s="6"/>
      <c r="U560" s="121">
        <f t="shared" ref="U560" si="356">Q560*$U$4</f>
        <v>99</v>
      </c>
      <c r="V560" s="121">
        <f t="shared" ref="V560" si="357">Q560*$V$4</f>
        <v>23</v>
      </c>
      <c r="W560" s="6"/>
      <c r="X560" s="6"/>
      <c r="Y560" s="6"/>
      <c r="Z560" s="6"/>
      <c r="AA560" s="19">
        <f t="shared" ref="AA560" si="358">SUM(Q560:Z560)</f>
        <v>20639</v>
      </c>
      <c r="AB560" s="19">
        <f t="shared" ref="AB560" si="359">$AA560*AB$7</f>
        <v>22241</v>
      </c>
      <c r="AC560" s="15">
        <f t="shared" si="350"/>
        <v>3005.54</v>
      </c>
      <c r="AD560" s="15">
        <f t="shared" si="351"/>
        <v>22241</v>
      </c>
      <c r="AE560" s="25"/>
      <c r="AF560" s="157">
        <f t="shared" si="345"/>
        <v>0</v>
      </c>
    </row>
    <row r="561" spans="1:32" s="51" customFormat="1" x14ac:dyDescent="0.25">
      <c r="A561" s="108" t="s">
        <v>151</v>
      </c>
      <c r="B561" s="88" t="s">
        <v>246</v>
      </c>
      <c r="C561" s="92"/>
      <c r="D561" s="93"/>
      <c r="E561" s="94"/>
      <c r="F561" s="94"/>
      <c r="G561" s="94"/>
      <c r="H561" s="99">
        <v>41839940</v>
      </c>
      <c r="I561" s="41"/>
      <c r="J561" s="20">
        <f>41839.94*1000</f>
        <v>41839940</v>
      </c>
      <c r="K561" s="20" t="s">
        <v>17</v>
      </c>
      <c r="L561" s="20">
        <f>H561-J561</f>
        <v>0</v>
      </c>
      <c r="M561" s="95">
        <v>381580180</v>
      </c>
      <c r="N561" s="50">
        <f>SUM(O563:O630)-M561</f>
        <v>-25</v>
      </c>
      <c r="O561" s="95"/>
      <c r="P561" s="50"/>
      <c r="Q561" s="50"/>
      <c r="R561" s="50"/>
      <c r="S561" s="50"/>
      <c r="T561" s="50"/>
      <c r="U561" s="126"/>
      <c r="V561" s="126"/>
      <c r="W561" s="50"/>
      <c r="X561" s="30"/>
      <c r="Y561" s="30"/>
      <c r="Z561" s="30"/>
      <c r="AA561" s="50"/>
      <c r="AB561" s="50"/>
      <c r="AC561" s="20"/>
      <c r="AD561" s="20"/>
      <c r="AE561" s="97"/>
      <c r="AF561" s="157">
        <f t="shared" si="345"/>
        <v>0</v>
      </c>
    </row>
    <row r="562" spans="1:32" s="43" customFormat="1" x14ac:dyDescent="0.25">
      <c r="A562" s="23" t="s">
        <v>152</v>
      </c>
      <c r="B562" s="17" t="s">
        <v>149</v>
      </c>
      <c r="C562" s="24"/>
      <c r="D562" s="13"/>
      <c r="E562" s="45"/>
      <c r="F562" s="45"/>
      <c r="G562" s="45"/>
      <c r="H562" s="44"/>
      <c r="I562" s="15"/>
      <c r="J562" s="15"/>
      <c r="K562" s="15"/>
      <c r="L562" s="15"/>
      <c r="M562" s="44"/>
      <c r="N562" s="44"/>
      <c r="O562" s="44"/>
      <c r="P562" s="19"/>
      <c r="Q562" s="19"/>
      <c r="R562" s="6"/>
      <c r="S562" s="19"/>
      <c r="T562" s="19"/>
      <c r="U562" s="126"/>
      <c r="V562" s="126"/>
      <c r="W562" s="6"/>
      <c r="X562" s="6"/>
      <c r="Y562" s="6"/>
      <c r="Z562" s="6"/>
      <c r="AA562" s="6"/>
      <c r="AB562" s="6"/>
      <c r="AC562" s="6"/>
      <c r="AD562" s="6"/>
      <c r="AE562" s="25"/>
      <c r="AF562" s="157">
        <f t="shared" si="345"/>
        <v>0</v>
      </c>
    </row>
    <row r="563" spans="1:32" s="4" customFormat="1" x14ac:dyDescent="0.25">
      <c r="A563" s="64" t="s">
        <v>154</v>
      </c>
      <c r="B563" s="55" t="s">
        <v>113</v>
      </c>
      <c r="C563" s="16" t="s">
        <v>70</v>
      </c>
      <c r="D563" s="47">
        <f>3441+259+13001+979+627+2985+92+1614+50+13789+426</f>
        <v>37263</v>
      </c>
      <c r="E563" s="45">
        <f>H563/D563</f>
        <v>23.84</v>
      </c>
      <c r="F563" s="45"/>
      <c r="G563" s="45"/>
      <c r="H563" s="44">
        <v>888268</v>
      </c>
      <c r="I563" s="15"/>
      <c r="J563" s="15"/>
      <c r="K563" s="15"/>
      <c r="L563" s="15"/>
      <c r="M563" s="44"/>
      <c r="N563" s="44"/>
      <c r="O563" s="44">
        <f>H563*9.12</f>
        <v>8101004</v>
      </c>
      <c r="P563" s="19">
        <f>O563*4.1%</f>
        <v>332141</v>
      </c>
      <c r="Q563" s="19">
        <f>SUM(O563:P563)</f>
        <v>8433145</v>
      </c>
      <c r="R563" s="6">
        <f>Q563*0.7%</f>
        <v>59032</v>
      </c>
      <c r="S563" s="6"/>
      <c r="T563" s="6"/>
      <c r="U563" s="126">
        <f>Q563*$U$4</f>
        <v>41132</v>
      </c>
      <c r="V563" s="126">
        <f>Q563*$V$4</f>
        <v>9441</v>
      </c>
      <c r="W563" s="6"/>
      <c r="X563" s="6"/>
      <c r="Y563" s="6"/>
      <c r="Z563" s="6"/>
      <c r="AA563" s="19">
        <f>SUM(Q563:Z563)</f>
        <v>8542750</v>
      </c>
      <c r="AB563" s="19">
        <f>$AA563*AB$7</f>
        <v>9205838</v>
      </c>
      <c r="AC563" s="15">
        <f t="shared" ref="AC563:AC572" si="360">AB563/D563</f>
        <v>247.05</v>
      </c>
      <c r="AD563" s="15">
        <f t="shared" ref="AD563:AD572" si="361">AC563*D563</f>
        <v>9205824.1500000004</v>
      </c>
      <c r="AE563" s="25"/>
      <c r="AF563" s="157">
        <f t="shared" si="345"/>
        <v>-13.85</v>
      </c>
    </row>
    <row r="564" spans="1:32" s="4" customFormat="1" x14ac:dyDescent="0.25">
      <c r="A564" s="64" t="s">
        <v>592</v>
      </c>
      <c r="B564" s="55" t="s">
        <v>392</v>
      </c>
      <c r="C564" s="16" t="s">
        <v>70</v>
      </c>
      <c r="D564" s="47">
        <f>78721+12072+14215</f>
        <v>105008</v>
      </c>
      <c r="E564" s="45">
        <f t="shared" ref="E564:E627" si="362">H564/D564</f>
        <v>162.19999999999999</v>
      </c>
      <c r="F564" s="45"/>
      <c r="G564" s="45"/>
      <c r="H564" s="44">
        <v>17032553</v>
      </c>
      <c r="I564" s="15"/>
      <c r="J564" s="15"/>
      <c r="K564" s="15"/>
      <c r="L564" s="15"/>
      <c r="M564" s="44"/>
      <c r="N564" s="44"/>
      <c r="O564" s="44">
        <f t="shared" ref="O564:O627" si="363">H564*9.12</f>
        <v>155336883</v>
      </c>
      <c r="P564" s="19">
        <f t="shared" ref="P564:P627" si="364">O564*4.1%</f>
        <v>6368812</v>
      </c>
      <c r="Q564" s="19">
        <f t="shared" ref="Q564:Q627" si="365">SUM(O564:P564)</f>
        <v>161705695</v>
      </c>
      <c r="R564" s="6">
        <f t="shared" ref="R564:R627" si="366">Q564*0.7%</f>
        <v>1131940</v>
      </c>
      <c r="S564" s="6"/>
      <c r="T564" s="6"/>
      <c r="U564" s="126">
        <f t="shared" ref="U564:U627" si="367">Q564*$U$4</f>
        <v>788709</v>
      </c>
      <c r="V564" s="126">
        <f t="shared" ref="V564:V627" si="368">Q564*$V$4</f>
        <v>181022</v>
      </c>
      <c r="W564" s="6"/>
      <c r="X564" s="6"/>
      <c r="Y564" s="6"/>
      <c r="Z564" s="6"/>
      <c r="AA564" s="19">
        <f t="shared" ref="AA564:AA627" si="369">SUM(Q564:Z564)</f>
        <v>163807366</v>
      </c>
      <c r="AB564" s="19">
        <f t="shared" ref="AB564:AB627" si="370">$AA564*AB$7</f>
        <v>176522094</v>
      </c>
      <c r="AC564" s="15">
        <f t="shared" si="360"/>
        <v>1681.03</v>
      </c>
      <c r="AD564" s="15">
        <f t="shared" si="361"/>
        <v>176521598.24000001</v>
      </c>
      <c r="AE564" s="25"/>
      <c r="AF564" s="157">
        <f t="shared" si="345"/>
        <v>-495.76</v>
      </c>
    </row>
    <row r="565" spans="1:32" s="4" customFormat="1" x14ac:dyDescent="0.25">
      <c r="A565" s="64" t="s">
        <v>593</v>
      </c>
      <c r="B565" s="55" t="s">
        <v>393</v>
      </c>
      <c r="C565" s="16" t="s">
        <v>70</v>
      </c>
      <c r="D565" s="47">
        <v>14080</v>
      </c>
      <c r="E565" s="45">
        <f t="shared" si="362"/>
        <v>29.04</v>
      </c>
      <c r="F565" s="45"/>
      <c r="G565" s="45"/>
      <c r="H565" s="44">
        <v>408939</v>
      </c>
      <c r="I565" s="15"/>
      <c r="J565" s="15"/>
      <c r="K565" s="15"/>
      <c r="L565" s="15"/>
      <c r="M565" s="44"/>
      <c r="N565" s="44"/>
      <c r="O565" s="44">
        <f t="shared" si="363"/>
        <v>3729524</v>
      </c>
      <c r="P565" s="19">
        <f t="shared" si="364"/>
        <v>152910</v>
      </c>
      <c r="Q565" s="19">
        <f t="shared" si="365"/>
        <v>3882434</v>
      </c>
      <c r="R565" s="6">
        <f t="shared" si="366"/>
        <v>27177</v>
      </c>
      <c r="S565" s="6"/>
      <c r="T565" s="6"/>
      <c r="U565" s="126">
        <f t="shared" si="367"/>
        <v>18936</v>
      </c>
      <c r="V565" s="126">
        <f t="shared" si="368"/>
        <v>4346</v>
      </c>
      <c r="W565" s="6"/>
      <c r="X565" s="6"/>
      <c r="Y565" s="6"/>
      <c r="Z565" s="6"/>
      <c r="AA565" s="19">
        <f t="shared" si="369"/>
        <v>3932893</v>
      </c>
      <c r="AB565" s="19">
        <f t="shared" si="370"/>
        <v>4238164</v>
      </c>
      <c r="AC565" s="15">
        <f t="shared" si="360"/>
        <v>301.01</v>
      </c>
      <c r="AD565" s="15">
        <f t="shared" si="361"/>
        <v>4238220.8</v>
      </c>
      <c r="AE565" s="25"/>
      <c r="AF565" s="157">
        <f t="shared" si="345"/>
        <v>56.8</v>
      </c>
    </row>
    <row r="566" spans="1:32" s="4" customFormat="1" x14ac:dyDescent="0.25">
      <c r="A566" s="64" t="s">
        <v>594</v>
      </c>
      <c r="B566" s="55" t="s">
        <v>395</v>
      </c>
      <c r="C566" s="16" t="s">
        <v>72</v>
      </c>
      <c r="D566" s="47">
        <f>33698+4717+1714</f>
        <v>40129</v>
      </c>
      <c r="E566" s="45">
        <f t="shared" si="362"/>
        <v>26.59</v>
      </c>
      <c r="F566" s="45"/>
      <c r="G566" s="45"/>
      <c r="H566" s="44">
        <v>1066963</v>
      </c>
      <c r="I566" s="15"/>
      <c r="J566" s="15"/>
      <c r="K566" s="15"/>
      <c r="L566" s="15"/>
      <c r="M566" s="44"/>
      <c r="N566" s="44"/>
      <c r="O566" s="44">
        <f t="shared" si="363"/>
        <v>9730703</v>
      </c>
      <c r="P566" s="19">
        <f t="shared" si="364"/>
        <v>398959</v>
      </c>
      <c r="Q566" s="19">
        <f t="shared" si="365"/>
        <v>10129662</v>
      </c>
      <c r="R566" s="6">
        <f t="shared" si="366"/>
        <v>70908</v>
      </c>
      <c r="S566" s="6"/>
      <c r="T566" s="6"/>
      <c r="U566" s="126">
        <f t="shared" si="367"/>
        <v>49407</v>
      </c>
      <c r="V566" s="126">
        <f t="shared" si="368"/>
        <v>11340</v>
      </c>
      <c r="W566" s="6"/>
      <c r="X566" s="6"/>
      <c r="Y566" s="6"/>
      <c r="Z566" s="6"/>
      <c r="AA566" s="19">
        <f t="shared" si="369"/>
        <v>10261317</v>
      </c>
      <c r="AB566" s="19">
        <f t="shared" si="370"/>
        <v>11057800</v>
      </c>
      <c r="AC566" s="15">
        <f t="shared" si="360"/>
        <v>275.56</v>
      </c>
      <c r="AD566" s="15">
        <f t="shared" si="361"/>
        <v>11057947.24</v>
      </c>
      <c r="AE566" s="25"/>
      <c r="AF566" s="157">
        <f t="shared" si="345"/>
        <v>147.24</v>
      </c>
    </row>
    <row r="567" spans="1:32" s="4" customFormat="1" x14ac:dyDescent="0.25">
      <c r="A567" s="64" t="s">
        <v>595</v>
      </c>
      <c r="B567" s="55" t="s">
        <v>394</v>
      </c>
      <c r="C567" s="16" t="s">
        <v>72</v>
      </c>
      <c r="D567" s="47">
        <f>8118</f>
        <v>8118</v>
      </c>
      <c r="E567" s="45">
        <f t="shared" si="362"/>
        <v>108.5</v>
      </c>
      <c r="F567" s="45"/>
      <c r="G567" s="45"/>
      <c r="H567" s="44">
        <v>880838</v>
      </c>
      <c r="I567" s="15"/>
      <c r="J567" s="15"/>
      <c r="K567" s="15"/>
      <c r="L567" s="15"/>
      <c r="M567" s="44"/>
      <c r="N567" s="44"/>
      <c r="O567" s="44">
        <f t="shared" si="363"/>
        <v>8033243</v>
      </c>
      <c r="P567" s="19">
        <f t="shared" si="364"/>
        <v>329363</v>
      </c>
      <c r="Q567" s="19">
        <f t="shared" si="365"/>
        <v>8362606</v>
      </c>
      <c r="R567" s="6">
        <f t="shared" si="366"/>
        <v>58538</v>
      </c>
      <c r="S567" s="6"/>
      <c r="T567" s="6"/>
      <c r="U567" s="126">
        <f t="shared" si="367"/>
        <v>40788</v>
      </c>
      <c r="V567" s="126">
        <f t="shared" si="368"/>
        <v>9362</v>
      </c>
      <c r="W567" s="6"/>
      <c r="X567" s="6"/>
      <c r="Y567" s="6"/>
      <c r="Z567" s="6"/>
      <c r="AA567" s="19">
        <f t="shared" si="369"/>
        <v>8471294</v>
      </c>
      <c r="AB567" s="19">
        <f t="shared" si="370"/>
        <v>9128836</v>
      </c>
      <c r="AC567" s="15">
        <f t="shared" si="360"/>
        <v>1124.52</v>
      </c>
      <c r="AD567" s="15">
        <f t="shared" si="361"/>
        <v>9128853.3599999994</v>
      </c>
      <c r="AE567" s="25"/>
      <c r="AF567" s="157">
        <f t="shared" si="345"/>
        <v>17.36</v>
      </c>
    </row>
    <row r="568" spans="1:32" s="4" customFormat="1" x14ac:dyDescent="0.25">
      <c r="A568" s="64" t="s">
        <v>596</v>
      </c>
      <c r="B568" s="55" t="s">
        <v>396</v>
      </c>
      <c r="C568" s="16" t="s">
        <v>72</v>
      </c>
      <c r="D568" s="47">
        <f>736+479</f>
        <v>1215</v>
      </c>
      <c r="E568" s="45">
        <f t="shared" si="362"/>
        <v>76.25</v>
      </c>
      <c r="F568" s="45"/>
      <c r="G568" s="45"/>
      <c r="H568" s="44">
        <v>92649</v>
      </c>
      <c r="I568" s="15"/>
      <c r="J568" s="15"/>
      <c r="K568" s="15"/>
      <c r="L568" s="15"/>
      <c r="M568" s="44"/>
      <c r="N568" s="44"/>
      <c r="O568" s="44">
        <f t="shared" si="363"/>
        <v>844959</v>
      </c>
      <c r="P568" s="19">
        <f t="shared" si="364"/>
        <v>34643</v>
      </c>
      <c r="Q568" s="19">
        <f t="shared" si="365"/>
        <v>879602</v>
      </c>
      <c r="R568" s="6">
        <f t="shared" si="366"/>
        <v>6157</v>
      </c>
      <c r="S568" s="6"/>
      <c r="T568" s="6"/>
      <c r="U568" s="126">
        <f t="shared" si="367"/>
        <v>4290</v>
      </c>
      <c r="V568" s="126">
        <f t="shared" si="368"/>
        <v>985</v>
      </c>
      <c r="W568" s="6"/>
      <c r="X568" s="6"/>
      <c r="Y568" s="6"/>
      <c r="Z568" s="6"/>
      <c r="AA568" s="19">
        <f t="shared" si="369"/>
        <v>891034</v>
      </c>
      <c r="AB568" s="19">
        <f t="shared" si="370"/>
        <v>960196</v>
      </c>
      <c r="AC568" s="15">
        <f t="shared" si="360"/>
        <v>790.28</v>
      </c>
      <c r="AD568" s="15">
        <f t="shared" si="361"/>
        <v>960190.2</v>
      </c>
      <c r="AE568" s="25"/>
      <c r="AF568" s="157">
        <f t="shared" si="345"/>
        <v>-5.8</v>
      </c>
    </row>
    <row r="569" spans="1:32" s="4" customFormat="1" x14ac:dyDescent="0.25">
      <c r="A569" s="64" t="s">
        <v>597</v>
      </c>
      <c r="B569" s="55" t="s">
        <v>397</v>
      </c>
      <c r="C569" s="16" t="s">
        <v>72</v>
      </c>
      <c r="D569" s="47">
        <f>1302+654</f>
        <v>1956</v>
      </c>
      <c r="E569" s="45">
        <f t="shared" si="362"/>
        <v>151.05000000000001</v>
      </c>
      <c r="F569" s="45"/>
      <c r="G569" s="45"/>
      <c r="H569" s="44">
        <v>295461</v>
      </c>
      <c r="I569" s="15"/>
      <c r="J569" s="15"/>
      <c r="K569" s="15"/>
      <c r="L569" s="15"/>
      <c r="M569" s="44"/>
      <c r="N569" s="44"/>
      <c r="O569" s="44">
        <f t="shared" si="363"/>
        <v>2694604</v>
      </c>
      <c r="P569" s="19">
        <f t="shared" si="364"/>
        <v>110479</v>
      </c>
      <c r="Q569" s="19">
        <f t="shared" si="365"/>
        <v>2805083</v>
      </c>
      <c r="R569" s="6">
        <f t="shared" si="366"/>
        <v>19636</v>
      </c>
      <c r="S569" s="6"/>
      <c r="T569" s="6"/>
      <c r="U569" s="126">
        <f t="shared" si="367"/>
        <v>13682</v>
      </c>
      <c r="V569" s="126">
        <f t="shared" si="368"/>
        <v>3140</v>
      </c>
      <c r="W569" s="6"/>
      <c r="X569" s="6"/>
      <c r="Y569" s="6"/>
      <c r="Z569" s="6"/>
      <c r="AA569" s="19">
        <f t="shared" si="369"/>
        <v>2841541</v>
      </c>
      <c r="AB569" s="19">
        <f t="shared" si="370"/>
        <v>3062101</v>
      </c>
      <c r="AC569" s="15">
        <f t="shared" si="360"/>
        <v>1565.49</v>
      </c>
      <c r="AD569" s="15">
        <f t="shared" si="361"/>
        <v>3062098.44</v>
      </c>
      <c r="AE569" s="25"/>
      <c r="AF569" s="157">
        <f t="shared" si="345"/>
        <v>-2.56</v>
      </c>
    </row>
    <row r="570" spans="1:32" s="4" customFormat="1" x14ac:dyDescent="0.25">
      <c r="A570" s="64" t="s">
        <v>598</v>
      </c>
      <c r="B570" s="55" t="s">
        <v>398</v>
      </c>
      <c r="C570" s="16" t="s">
        <v>72</v>
      </c>
      <c r="D570" s="47">
        <v>60</v>
      </c>
      <c r="E570" s="45">
        <f t="shared" si="362"/>
        <v>379.2</v>
      </c>
      <c r="F570" s="45"/>
      <c r="G570" s="45"/>
      <c r="H570" s="44">
        <v>22752</v>
      </c>
      <c r="I570" s="15"/>
      <c r="J570" s="15"/>
      <c r="K570" s="15"/>
      <c r="L570" s="15"/>
      <c r="M570" s="44"/>
      <c r="N570" s="44"/>
      <c r="O570" s="44">
        <f t="shared" si="363"/>
        <v>207498</v>
      </c>
      <c r="P570" s="19">
        <f t="shared" si="364"/>
        <v>8507</v>
      </c>
      <c r="Q570" s="19">
        <f t="shared" si="365"/>
        <v>216005</v>
      </c>
      <c r="R570" s="6">
        <f t="shared" si="366"/>
        <v>1512</v>
      </c>
      <c r="S570" s="6"/>
      <c r="T570" s="6"/>
      <c r="U570" s="126">
        <f t="shared" si="367"/>
        <v>1054</v>
      </c>
      <c r="V570" s="126">
        <f t="shared" si="368"/>
        <v>242</v>
      </c>
      <c r="W570" s="6"/>
      <c r="X570" s="6"/>
      <c r="Y570" s="6"/>
      <c r="Z570" s="6"/>
      <c r="AA570" s="19">
        <f t="shared" si="369"/>
        <v>218813</v>
      </c>
      <c r="AB570" s="19">
        <f t="shared" si="370"/>
        <v>235797</v>
      </c>
      <c r="AC570" s="15">
        <f t="shared" si="360"/>
        <v>3929.95</v>
      </c>
      <c r="AD570" s="15">
        <f t="shared" si="361"/>
        <v>235797</v>
      </c>
      <c r="AE570" s="25"/>
      <c r="AF570" s="157">
        <f t="shared" si="345"/>
        <v>0</v>
      </c>
    </row>
    <row r="571" spans="1:32" s="4" customFormat="1" x14ac:dyDescent="0.25">
      <c r="A571" s="64" t="s">
        <v>599</v>
      </c>
      <c r="B571" s="55" t="s">
        <v>399</v>
      </c>
      <c r="C571" s="16" t="s">
        <v>360</v>
      </c>
      <c r="D571" s="47">
        <v>12.28</v>
      </c>
      <c r="E571" s="45">
        <f t="shared" si="362"/>
        <v>1523.29</v>
      </c>
      <c r="F571" s="45"/>
      <c r="G571" s="45"/>
      <c r="H571" s="44">
        <v>18706</v>
      </c>
      <c r="I571" s="15"/>
      <c r="J571" s="15"/>
      <c r="K571" s="15"/>
      <c r="L571" s="15"/>
      <c r="M571" s="44"/>
      <c r="N571" s="44"/>
      <c r="O571" s="44">
        <f t="shared" si="363"/>
        <v>170599</v>
      </c>
      <c r="P571" s="19">
        <f t="shared" si="364"/>
        <v>6995</v>
      </c>
      <c r="Q571" s="19">
        <f t="shared" si="365"/>
        <v>177594</v>
      </c>
      <c r="R571" s="6">
        <f t="shared" si="366"/>
        <v>1243</v>
      </c>
      <c r="S571" s="6"/>
      <c r="T571" s="6"/>
      <c r="U571" s="126">
        <f t="shared" si="367"/>
        <v>866</v>
      </c>
      <c r="V571" s="126">
        <f t="shared" si="368"/>
        <v>199</v>
      </c>
      <c r="W571" s="6"/>
      <c r="X571" s="6"/>
      <c r="Y571" s="6"/>
      <c r="Z571" s="6"/>
      <c r="AA571" s="19">
        <f t="shared" si="369"/>
        <v>179902</v>
      </c>
      <c r="AB571" s="19">
        <f t="shared" si="370"/>
        <v>193866</v>
      </c>
      <c r="AC571" s="15">
        <f t="shared" si="360"/>
        <v>15787.13</v>
      </c>
      <c r="AD571" s="15">
        <f t="shared" si="361"/>
        <v>193865.96</v>
      </c>
      <c r="AE571" s="25"/>
      <c r="AF571" s="157">
        <f t="shared" si="345"/>
        <v>-0.04</v>
      </c>
    </row>
    <row r="572" spans="1:32" s="4" customFormat="1" x14ac:dyDescent="0.25">
      <c r="A572" s="64" t="s">
        <v>600</v>
      </c>
      <c r="B572" s="55" t="s">
        <v>432</v>
      </c>
      <c r="C572" s="16" t="s">
        <v>67</v>
      </c>
      <c r="D572" s="47">
        <v>1</v>
      </c>
      <c r="E572" s="45">
        <f t="shared" si="362"/>
        <v>2980</v>
      </c>
      <c r="F572" s="45"/>
      <c r="G572" s="45"/>
      <c r="H572" s="44">
        <v>2980</v>
      </c>
      <c r="I572" s="15"/>
      <c r="J572" s="15"/>
      <c r="K572" s="15"/>
      <c r="L572" s="15"/>
      <c r="M572" s="44"/>
      <c r="N572" s="44"/>
      <c r="O572" s="44">
        <f t="shared" si="363"/>
        <v>27178</v>
      </c>
      <c r="P572" s="19">
        <f t="shared" si="364"/>
        <v>1114</v>
      </c>
      <c r="Q572" s="19">
        <f t="shared" si="365"/>
        <v>28292</v>
      </c>
      <c r="R572" s="6">
        <f t="shared" si="366"/>
        <v>198</v>
      </c>
      <c r="S572" s="6"/>
      <c r="T572" s="6"/>
      <c r="U572" s="126">
        <f t="shared" si="367"/>
        <v>138</v>
      </c>
      <c r="V572" s="126">
        <f t="shared" si="368"/>
        <v>32</v>
      </c>
      <c r="W572" s="6"/>
      <c r="X572" s="6"/>
      <c r="Y572" s="6"/>
      <c r="Z572" s="6"/>
      <c r="AA572" s="19">
        <f t="shared" si="369"/>
        <v>28660</v>
      </c>
      <c r="AB572" s="19">
        <f t="shared" si="370"/>
        <v>30885</v>
      </c>
      <c r="AC572" s="15">
        <f t="shared" si="360"/>
        <v>30885</v>
      </c>
      <c r="AD572" s="15">
        <f t="shared" si="361"/>
        <v>30885</v>
      </c>
      <c r="AE572" s="25"/>
      <c r="AF572" s="157">
        <f t="shared" si="345"/>
        <v>0</v>
      </c>
    </row>
    <row r="573" spans="1:32" s="43" customFormat="1" x14ac:dyDescent="0.25">
      <c r="A573" s="23" t="s">
        <v>601</v>
      </c>
      <c r="B573" s="17" t="s">
        <v>436</v>
      </c>
      <c r="C573" s="24"/>
      <c r="D573" s="13"/>
      <c r="E573" s="45"/>
      <c r="F573" s="45"/>
      <c r="G573" s="45"/>
      <c r="H573" s="44"/>
      <c r="I573" s="15"/>
      <c r="J573" s="15"/>
      <c r="K573" s="15"/>
      <c r="L573" s="15"/>
      <c r="M573" s="44"/>
      <c r="N573" s="44"/>
      <c r="O573" s="44"/>
      <c r="P573" s="19"/>
      <c r="Q573" s="19"/>
      <c r="R573" s="6"/>
      <c r="S573" s="6"/>
      <c r="T573" s="6"/>
      <c r="U573" s="126"/>
      <c r="V573" s="126"/>
      <c r="W573" s="6"/>
      <c r="X573" s="6"/>
      <c r="Y573" s="6"/>
      <c r="Z573" s="6"/>
      <c r="AA573" s="19"/>
      <c r="AB573" s="19"/>
      <c r="AC573" s="15"/>
      <c r="AD573" s="15"/>
      <c r="AE573" s="25"/>
      <c r="AF573" s="157">
        <f t="shared" si="345"/>
        <v>0</v>
      </c>
    </row>
    <row r="574" spans="1:32" s="4" customFormat="1" ht="25.5" x14ac:dyDescent="0.25">
      <c r="A574" s="64" t="s">
        <v>602</v>
      </c>
      <c r="B574" s="55" t="s">
        <v>603</v>
      </c>
      <c r="C574" s="16" t="s">
        <v>72</v>
      </c>
      <c r="D574" s="47">
        <f>17749</f>
        <v>17749</v>
      </c>
      <c r="E574" s="45">
        <f t="shared" si="362"/>
        <v>185.86</v>
      </c>
      <c r="F574" s="45"/>
      <c r="G574" s="45"/>
      <c r="H574" s="44">
        <v>3298910</v>
      </c>
      <c r="I574" s="15"/>
      <c r="J574" s="15"/>
      <c r="K574" s="15"/>
      <c r="L574" s="15"/>
      <c r="M574" s="44"/>
      <c r="N574" s="44"/>
      <c r="O574" s="44">
        <f t="shared" si="363"/>
        <v>30086059</v>
      </c>
      <c r="P574" s="19">
        <f t="shared" si="364"/>
        <v>1233528</v>
      </c>
      <c r="Q574" s="19">
        <f t="shared" si="365"/>
        <v>31319587</v>
      </c>
      <c r="R574" s="6">
        <f t="shared" si="366"/>
        <v>219237</v>
      </c>
      <c r="S574" s="6"/>
      <c r="T574" s="6"/>
      <c r="U574" s="126">
        <f t="shared" si="367"/>
        <v>152759</v>
      </c>
      <c r="V574" s="126">
        <f t="shared" si="368"/>
        <v>35061</v>
      </c>
      <c r="W574" s="6"/>
      <c r="X574" s="6"/>
      <c r="Y574" s="6"/>
      <c r="Z574" s="6"/>
      <c r="AA574" s="19">
        <f t="shared" si="369"/>
        <v>31726644</v>
      </c>
      <c r="AB574" s="19">
        <f t="shared" si="370"/>
        <v>34189266</v>
      </c>
      <c r="AC574" s="15">
        <f t="shared" ref="AC574:AC598" si="371">AB574/D574</f>
        <v>1926.26</v>
      </c>
      <c r="AD574" s="15">
        <f t="shared" ref="AD574:AD598" si="372">AC574*D574</f>
        <v>34189188.740000002</v>
      </c>
      <c r="AE574" s="25"/>
      <c r="AF574" s="157">
        <f t="shared" si="345"/>
        <v>-77.260000000000005</v>
      </c>
    </row>
    <row r="575" spans="1:32" s="4" customFormat="1" ht="25.5" x14ac:dyDescent="0.25">
      <c r="A575" s="64" t="s">
        <v>604</v>
      </c>
      <c r="B575" s="55" t="s">
        <v>440</v>
      </c>
      <c r="C575" s="16" t="s">
        <v>72</v>
      </c>
      <c r="D575" s="47">
        <v>16887</v>
      </c>
      <c r="E575" s="45">
        <f t="shared" si="362"/>
        <v>195.14</v>
      </c>
      <c r="F575" s="45"/>
      <c r="G575" s="45"/>
      <c r="H575" s="44">
        <v>3295321</v>
      </c>
      <c r="I575" s="15"/>
      <c r="J575" s="15"/>
      <c r="K575" s="15"/>
      <c r="L575" s="15"/>
      <c r="M575" s="44"/>
      <c r="N575" s="44"/>
      <c r="O575" s="44">
        <f t="shared" si="363"/>
        <v>30053328</v>
      </c>
      <c r="P575" s="19">
        <f t="shared" si="364"/>
        <v>1232186</v>
      </c>
      <c r="Q575" s="19">
        <f t="shared" si="365"/>
        <v>31285514</v>
      </c>
      <c r="R575" s="6">
        <f t="shared" si="366"/>
        <v>218999</v>
      </c>
      <c r="S575" s="6"/>
      <c r="T575" s="6"/>
      <c r="U575" s="126">
        <f t="shared" si="367"/>
        <v>152593</v>
      </c>
      <c r="V575" s="126">
        <f t="shared" si="368"/>
        <v>35023</v>
      </c>
      <c r="W575" s="6"/>
      <c r="X575" s="6"/>
      <c r="Y575" s="6"/>
      <c r="Z575" s="6"/>
      <c r="AA575" s="19">
        <f t="shared" si="369"/>
        <v>31692129</v>
      </c>
      <c r="AB575" s="19">
        <f t="shared" si="370"/>
        <v>34152072</v>
      </c>
      <c r="AC575" s="15">
        <f t="shared" si="371"/>
        <v>2022.39</v>
      </c>
      <c r="AD575" s="15">
        <f t="shared" si="372"/>
        <v>34152099.93</v>
      </c>
      <c r="AE575" s="25"/>
      <c r="AF575" s="157">
        <f t="shared" si="345"/>
        <v>27.93</v>
      </c>
    </row>
    <row r="576" spans="1:32" s="4" customFormat="1" ht="25.5" x14ac:dyDescent="0.25">
      <c r="A576" s="64" t="s">
        <v>605</v>
      </c>
      <c r="B576" s="55" t="s">
        <v>482</v>
      </c>
      <c r="C576" s="16" t="s">
        <v>72</v>
      </c>
      <c r="D576" s="47">
        <v>3753</v>
      </c>
      <c r="E576" s="45">
        <f t="shared" si="362"/>
        <v>130.1</v>
      </c>
      <c r="F576" s="45"/>
      <c r="G576" s="45"/>
      <c r="H576" s="44">
        <v>488277</v>
      </c>
      <c r="I576" s="15"/>
      <c r="J576" s="15"/>
      <c r="K576" s="15"/>
      <c r="L576" s="15"/>
      <c r="M576" s="44"/>
      <c r="N576" s="44"/>
      <c r="O576" s="44">
        <f t="shared" si="363"/>
        <v>4453086</v>
      </c>
      <c r="P576" s="19">
        <f t="shared" si="364"/>
        <v>182577</v>
      </c>
      <c r="Q576" s="19">
        <f t="shared" si="365"/>
        <v>4635663</v>
      </c>
      <c r="R576" s="6">
        <f t="shared" si="366"/>
        <v>32450</v>
      </c>
      <c r="S576" s="6"/>
      <c r="T576" s="6"/>
      <c r="U576" s="126">
        <f t="shared" si="367"/>
        <v>22610</v>
      </c>
      <c r="V576" s="126">
        <f t="shared" si="368"/>
        <v>5189</v>
      </c>
      <c r="W576" s="6"/>
      <c r="X576" s="6"/>
      <c r="Y576" s="6"/>
      <c r="Z576" s="6"/>
      <c r="AA576" s="19">
        <f t="shared" si="369"/>
        <v>4695912</v>
      </c>
      <c r="AB576" s="19">
        <f t="shared" si="370"/>
        <v>5060409</v>
      </c>
      <c r="AC576" s="15">
        <f t="shared" si="371"/>
        <v>1348.36</v>
      </c>
      <c r="AD576" s="15">
        <f t="shared" si="372"/>
        <v>5060395.08</v>
      </c>
      <c r="AE576" s="25"/>
      <c r="AF576" s="157">
        <f t="shared" ref="AF576:AF639" si="373">AD576-AB576</f>
        <v>-13.92</v>
      </c>
    </row>
    <row r="577" spans="1:32" s="4" customFormat="1" ht="25.5" x14ac:dyDescent="0.25">
      <c r="A577" s="64" t="s">
        <v>606</v>
      </c>
      <c r="B577" s="55" t="s">
        <v>607</v>
      </c>
      <c r="C577" s="16" t="s">
        <v>72</v>
      </c>
      <c r="D577" s="47">
        <f>5515+6008</f>
        <v>11523</v>
      </c>
      <c r="E577" s="45">
        <f t="shared" si="362"/>
        <v>254.26</v>
      </c>
      <c r="F577" s="45"/>
      <c r="G577" s="45"/>
      <c r="H577" s="44">
        <v>2929793</v>
      </c>
      <c r="I577" s="15"/>
      <c r="J577" s="15"/>
      <c r="K577" s="15"/>
      <c r="L577" s="15"/>
      <c r="M577" s="44"/>
      <c r="N577" s="44"/>
      <c r="O577" s="44">
        <f t="shared" si="363"/>
        <v>26719712</v>
      </c>
      <c r="P577" s="19">
        <f t="shared" si="364"/>
        <v>1095508</v>
      </c>
      <c r="Q577" s="19">
        <f t="shared" si="365"/>
        <v>27815220</v>
      </c>
      <c r="R577" s="6">
        <f t="shared" si="366"/>
        <v>194707</v>
      </c>
      <c r="S577" s="6"/>
      <c r="T577" s="6"/>
      <c r="U577" s="126">
        <f t="shared" si="367"/>
        <v>135667</v>
      </c>
      <c r="V577" s="126">
        <f t="shared" si="368"/>
        <v>31138</v>
      </c>
      <c r="W577" s="6"/>
      <c r="X577" s="6"/>
      <c r="Y577" s="6"/>
      <c r="Z577" s="6"/>
      <c r="AA577" s="19">
        <f t="shared" si="369"/>
        <v>28176732</v>
      </c>
      <c r="AB577" s="19">
        <f t="shared" si="370"/>
        <v>30363810</v>
      </c>
      <c r="AC577" s="15">
        <f t="shared" si="371"/>
        <v>2635.06</v>
      </c>
      <c r="AD577" s="15">
        <f t="shared" si="372"/>
        <v>30363796.379999999</v>
      </c>
      <c r="AE577" s="25"/>
      <c r="AF577" s="157">
        <f t="shared" si="373"/>
        <v>-13.62</v>
      </c>
    </row>
    <row r="578" spans="1:32" s="4" customFormat="1" ht="25.5" x14ac:dyDescent="0.25">
      <c r="A578" s="64" t="s">
        <v>608</v>
      </c>
      <c r="B578" s="55" t="s">
        <v>449</v>
      </c>
      <c r="C578" s="16" t="s">
        <v>72</v>
      </c>
      <c r="D578" s="47">
        <v>12843</v>
      </c>
      <c r="E578" s="45">
        <f t="shared" si="362"/>
        <v>160.06</v>
      </c>
      <c r="F578" s="45"/>
      <c r="G578" s="45"/>
      <c r="H578" s="44">
        <v>2055624</v>
      </c>
      <c r="I578" s="15"/>
      <c r="J578" s="15"/>
      <c r="K578" s="15"/>
      <c r="L578" s="15"/>
      <c r="M578" s="44"/>
      <c r="N578" s="44"/>
      <c r="O578" s="44">
        <f t="shared" si="363"/>
        <v>18747291</v>
      </c>
      <c r="P578" s="19">
        <f t="shared" si="364"/>
        <v>768639</v>
      </c>
      <c r="Q578" s="19">
        <f t="shared" si="365"/>
        <v>19515930</v>
      </c>
      <c r="R578" s="6">
        <f t="shared" si="366"/>
        <v>136612</v>
      </c>
      <c r="S578" s="6"/>
      <c r="T578" s="6"/>
      <c r="U578" s="126">
        <f t="shared" si="367"/>
        <v>95188</v>
      </c>
      <c r="V578" s="126">
        <f t="shared" si="368"/>
        <v>21847</v>
      </c>
      <c r="W578" s="6"/>
      <c r="X578" s="6"/>
      <c r="Y578" s="6"/>
      <c r="Z578" s="6"/>
      <c r="AA578" s="19">
        <f t="shared" si="369"/>
        <v>19769577</v>
      </c>
      <c r="AB578" s="19">
        <f t="shared" si="370"/>
        <v>21304092</v>
      </c>
      <c r="AC578" s="15">
        <f t="shared" si="371"/>
        <v>1658.81</v>
      </c>
      <c r="AD578" s="15">
        <f t="shared" si="372"/>
        <v>21304096.829999998</v>
      </c>
      <c r="AE578" s="25"/>
      <c r="AF578" s="157">
        <f t="shared" si="373"/>
        <v>4.83</v>
      </c>
    </row>
    <row r="579" spans="1:32" s="4" customFormat="1" ht="25.5" x14ac:dyDescent="0.25">
      <c r="A579" s="64" t="s">
        <v>609</v>
      </c>
      <c r="B579" s="55" t="s">
        <v>610</v>
      </c>
      <c r="C579" s="16" t="s">
        <v>72</v>
      </c>
      <c r="D579" s="47">
        <f>24366</f>
        <v>24366</v>
      </c>
      <c r="E579" s="45">
        <f t="shared" si="362"/>
        <v>129.63999999999999</v>
      </c>
      <c r="F579" s="45"/>
      <c r="G579" s="45"/>
      <c r="H579" s="44">
        <v>3158893</v>
      </c>
      <c r="I579" s="15"/>
      <c r="J579" s="15"/>
      <c r="K579" s="15"/>
      <c r="L579" s="15"/>
      <c r="M579" s="44"/>
      <c r="N579" s="44"/>
      <c r="O579" s="44">
        <f t="shared" si="363"/>
        <v>28809104</v>
      </c>
      <c r="P579" s="19">
        <f t="shared" si="364"/>
        <v>1181173</v>
      </c>
      <c r="Q579" s="19">
        <f t="shared" si="365"/>
        <v>29990277</v>
      </c>
      <c r="R579" s="6">
        <f t="shared" si="366"/>
        <v>209932</v>
      </c>
      <c r="S579" s="6"/>
      <c r="T579" s="6"/>
      <c r="U579" s="126">
        <f t="shared" si="367"/>
        <v>146276</v>
      </c>
      <c r="V579" s="126">
        <f t="shared" si="368"/>
        <v>33573</v>
      </c>
      <c r="W579" s="6"/>
      <c r="X579" s="6"/>
      <c r="Y579" s="6"/>
      <c r="Z579" s="6"/>
      <c r="AA579" s="19">
        <f t="shared" si="369"/>
        <v>30380058</v>
      </c>
      <c r="AB579" s="19">
        <f t="shared" si="370"/>
        <v>32738158</v>
      </c>
      <c r="AC579" s="15">
        <f t="shared" si="371"/>
        <v>1343.6</v>
      </c>
      <c r="AD579" s="15">
        <f t="shared" si="372"/>
        <v>32738157.600000001</v>
      </c>
      <c r="AE579" s="25"/>
      <c r="AF579" s="157">
        <f t="shared" si="373"/>
        <v>-0.4</v>
      </c>
    </row>
    <row r="580" spans="1:32" s="4" customFormat="1" x14ac:dyDescent="0.25">
      <c r="A580" s="64" t="s">
        <v>611</v>
      </c>
      <c r="B580" s="55" t="s">
        <v>407</v>
      </c>
      <c r="C580" s="16" t="s">
        <v>70</v>
      </c>
      <c r="D580" s="47">
        <v>1955</v>
      </c>
      <c r="E580" s="45">
        <f t="shared" si="362"/>
        <v>331.7</v>
      </c>
      <c r="F580" s="45"/>
      <c r="G580" s="45"/>
      <c r="H580" s="44">
        <v>648465</v>
      </c>
      <c r="I580" s="15"/>
      <c r="J580" s="15"/>
      <c r="K580" s="15"/>
      <c r="L580" s="15"/>
      <c r="M580" s="44"/>
      <c r="N580" s="44"/>
      <c r="O580" s="44">
        <f t="shared" si="363"/>
        <v>5914001</v>
      </c>
      <c r="P580" s="19">
        <f t="shared" si="364"/>
        <v>242474</v>
      </c>
      <c r="Q580" s="19">
        <f t="shared" si="365"/>
        <v>6156475</v>
      </c>
      <c r="R580" s="6">
        <f t="shared" si="366"/>
        <v>43095</v>
      </c>
      <c r="S580" s="6"/>
      <c r="T580" s="6"/>
      <c r="U580" s="126">
        <f t="shared" si="367"/>
        <v>30028</v>
      </c>
      <c r="V580" s="126">
        <f t="shared" si="368"/>
        <v>6892</v>
      </c>
      <c r="W580" s="6"/>
      <c r="X580" s="6"/>
      <c r="Y580" s="6"/>
      <c r="Z580" s="6"/>
      <c r="AA580" s="19">
        <f t="shared" si="369"/>
        <v>6236490</v>
      </c>
      <c r="AB580" s="19">
        <f t="shared" si="370"/>
        <v>6720566</v>
      </c>
      <c r="AC580" s="15">
        <f t="shared" si="371"/>
        <v>3437.63</v>
      </c>
      <c r="AD580" s="15">
        <f t="shared" si="372"/>
        <v>6720566.6500000004</v>
      </c>
      <c r="AE580" s="25"/>
      <c r="AF580" s="157">
        <f t="shared" si="373"/>
        <v>0.65</v>
      </c>
    </row>
    <row r="581" spans="1:32" s="4" customFormat="1" x14ac:dyDescent="0.25">
      <c r="A581" s="64" t="s">
        <v>612</v>
      </c>
      <c r="B581" s="55" t="s">
        <v>409</v>
      </c>
      <c r="C581" s="16" t="s">
        <v>72</v>
      </c>
      <c r="D581" s="47">
        <f>1958</f>
        <v>1958</v>
      </c>
      <c r="E581" s="45">
        <f t="shared" si="362"/>
        <v>23.8</v>
      </c>
      <c r="F581" s="45"/>
      <c r="G581" s="45"/>
      <c r="H581" s="44">
        <v>46594</v>
      </c>
      <c r="I581" s="15"/>
      <c r="J581" s="15"/>
      <c r="K581" s="15"/>
      <c r="L581" s="15"/>
      <c r="M581" s="44"/>
      <c r="N581" s="44"/>
      <c r="O581" s="44">
        <f t="shared" si="363"/>
        <v>424937</v>
      </c>
      <c r="P581" s="19">
        <f t="shared" si="364"/>
        <v>17422</v>
      </c>
      <c r="Q581" s="19">
        <f t="shared" si="365"/>
        <v>442359</v>
      </c>
      <c r="R581" s="6">
        <f t="shared" si="366"/>
        <v>3097</v>
      </c>
      <c r="S581" s="6"/>
      <c r="T581" s="6"/>
      <c r="U581" s="126">
        <f t="shared" si="367"/>
        <v>2158</v>
      </c>
      <c r="V581" s="126">
        <f t="shared" si="368"/>
        <v>495</v>
      </c>
      <c r="W581" s="6"/>
      <c r="X581" s="6"/>
      <c r="Y581" s="6"/>
      <c r="Z581" s="6"/>
      <c r="AA581" s="19">
        <f t="shared" si="369"/>
        <v>448109</v>
      </c>
      <c r="AB581" s="19">
        <f t="shared" si="370"/>
        <v>482891</v>
      </c>
      <c r="AC581" s="15">
        <f t="shared" si="371"/>
        <v>246.62</v>
      </c>
      <c r="AD581" s="15">
        <f t="shared" si="372"/>
        <v>482881.96</v>
      </c>
      <c r="AE581" s="25"/>
      <c r="AF581" s="157">
        <f t="shared" si="373"/>
        <v>-9.0399999999999991</v>
      </c>
    </row>
    <row r="582" spans="1:32" s="4" customFormat="1" ht="25.5" x14ac:dyDescent="0.25">
      <c r="A582" s="64" t="s">
        <v>613</v>
      </c>
      <c r="B582" s="55" t="s">
        <v>614</v>
      </c>
      <c r="C582" s="16" t="s">
        <v>72</v>
      </c>
      <c r="D582" s="47">
        <v>1334</v>
      </c>
      <c r="E582" s="45">
        <f t="shared" si="362"/>
        <v>26.23</v>
      </c>
      <c r="F582" s="45"/>
      <c r="G582" s="45"/>
      <c r="H582" s="44">
        <v>34985</v>
      </c>
      <c r="I582" s="15"/>
      <c r="J582" s="15"/>
      <c r="K582" s="15"/>
      <c r="L582" s="15"/>
      <c r="M582" s="44"/>
      <c r="N582" s="44"/>
      <c r="O582" s="44">
        <f t="shared" si="363"/>
        <v>319063</v>
      </c>
      <c r="P582" s="19">
        <f t="shared" si="364"/>
        <v>13082</v>
      </c>
      <c r="Q582" s="19">
        <f t="shared" si="365"/>
        <v>332145</v>
      </c>
      <c r="R582" s="6">
        <f t="shared" si="366"/>
        <v>2325</v>
      </c>
      <c r="S582" s="6"/>
      <c r="T582" s="6"/>
      <c r="U582" s="126">
        <f t="shared" si="367"/>
        <v>1620</v>
      </c>
      <c r="V582" s="126">
        <f t="shared" si="368"/>
        <v>372</v>
      </c>
      <c r="W582" s="6"/>
      <c r="X582" s="6"/>
      <c r="Y582" s="6"/>
      <c r="Z582" s="6"/>
      <c r="AA582" s="19">
        <f t="shared" si="369"/>
        <v>336462</v>
      </c>
      <c r="AB582" s="19">
        <f t="shared" si="370"/>
        <v>362578</v>
      </c>
      <c r="AC582" s="15">
        <f t="shared" si="371"/>
        <v>271.8</v>
      </c>
      <c r="AD582" s="15">
        <f t="shared" si="372"/>
        <v>362581.2</v>
      </c>
      <c r="AE582" s="25"/>
      <c r="AF582" s="157">
        <f t="shared" si="373"/>
        <v>3.2</v>
      </c>
    </row>
    <row r="583" spans="1:32" s="4" customFormat="1" ht="25.5" x14ac:dyDescent="0.25">
      <c r="A583" s="64" t="s">
        <v>615</v>
      </c>
      <c r="B583" s="55" t="s">
        <v>616</v>
      </c>
      <c r="C583" s="16" t="s">
        <v>72</v>
      </c>
      <c r="D583" s="47">
        <v>765</v>
      </c>
      <c r="E583" s="45">
        <f t="shared" si="362"/>
        <v>29.14</v>
      </c>
      <c r="F583" s="45"/>
      <c r="G583" s="45"/>
      <c r="H583" s="44">
        <v>22293</v>
      </c>
      <c r="I583" s="15"/>
      <c r="J583" s="15"/>
      <c r="K583" s="15"/>
      <c r="L583" s="15"/>
      <c r="M583" s="44"/>
      <c r="N583" s="44"/>
      <c r="O583" s="44">
        <f t="shared" si="363"/>
        <v>203312</v>
      </c>
      <c r="P583" s="19">
        <f t="shared" si="364"/>
        <v>8336</v>
      </c>
      <c r="Q583" s="19">
        <f t="shared" si="365"/>
        <v>211648</v>
      </c>
      <c r="R583" s="6">
        <f t="shared" si="366"/>
        <v>1482</v>
      </c>
      <c r="S583" s="6"/>
      <c r="T583" s="6"/>
      <c r="U583" s="126">
        <f t="shared" si="367"/>
        <v>1032</v>
      </c>
      <c r="V583" s="126">
        <f t="shared" si="368"/>
        <v>237</v>
      </c>
      <c r="W583" s="6"/>
      <c r="X583" s="6"/>
      <c r="Y583" s="6"/>
      <c r="Z583" s="6"/>
      <c r="AA583" s="19">
        <f t="shared" si="369"/>
        <v>214399</v>
      </c>
      <c r="AB583" s="19">
        <f t="shared" si="370"/>
        <v>231041</v>
      </c>
      <c r="AC583" s="15">
        <f t="shared" si="371"/>
        <v>302.01</v>
      </c>
      <c r="AD583" s="15">
        <f t="shared" si="372"/>
        <v>231037.65</v>
      </c>
      <c r="AE583" s="25"/>
      <c r="AF583" s="157">
        <f t="shared" si="373"/>
        <v>-3.35</v>
      </c>
    </row>
    <row r="584" spans="1:32" s="4" customFormat="1" ht="25.5" x14ac:dyDescent="0.25">
      <c r="A584" s="64" t="s">
        <v>617</v>
      </c>
      <c r="B584" s="55" t="s">
        <v>460</v>
      </c>
      <c r="C584" s="16" t="s">
        <v>72</v>
      </c>
      <c r="D584" s="47">
        <v>266</v>
      </c>
      <c r="E584" s="45">
        <f t="shared" si="362"/>
        <v>34.950000000000003</v>
      </c>
      <c r="F584" s="45"/>
      <c r="G584" s="45"/>
      <c r="H584" s="44">
        <v>9296</v>
      </c>
      <c r="I584" s="15"/>
      <c r="J584" s="15"/>
      <c r="K584" s="15"/>
      <c r="L584" s="15"/>
      <c r="M584" s="44"/>
      <c r="N584" s="44"/>
      <c r="O584" s="44">
        <f t="shared" si="363"/>
        <v>84780</v>
      </c>
      <c r="P584" s="19">
        <f t="shared" si="364"/>
        <v>3476</v>
      </c>
      <c r="Q584" s="19">
        <f t="shared" si="365"/>
        <v>88256</v>
      </c>
      <c r="R584" s="6">
        <f t="shared" si="366"/>
        <v>618</v>
      </c>
      <c r="S584" s="6"/>
      <c r="T584" s="6"/>
      <c r="U584" s="126">
        <f t="shared" si="367"/>
        <v>430</v>
      </c>
      <c r="V584" s="126">
        <f t="shared" si="368"/>
        <v>99</v>
      </c>
      <c r="W584" s="6"/>
      <c r="X584" s="6"/>
      <c r="Y584" s="6"/>
      <c r="Z584" s="6"/>
      <c r="AA584" s="19">
        <f t="shared" si="369"/>
        <v>89403</v>
      </c>
      <c r="AB584" s="19">
        <f t="shared" si="370"/>
        <v>96342</v>
      </c>
      <c r="AC584" s="15">
        <f t="shared" si="371"/>
        <v>362.19</v>
      </c>
      <c r="AD584" s="15">
        <f t="shared" si="372"/>
        <v>96342.54</v>
      </c>
      <c r="AE584" s="25"/>
      <c r="AF584" s="157">
        <f t="shared" si="373"/>
        <v>0.54</v>
      </c>
    </row>
    <row r="585" spans="1:32" s="4" customFormat="1" x14ac:dyDescent="0.25">
      <c r="A585" s="64" t="s">
        <v>618</v>
      </c>
      <c r="B585" s="55" t="s">
        <v>619</v>
      </c>
      <c r="C585" s="16" t="s">
        <v>72</v>
      </c>
      <c r="D585" s="47">
        <v>1088</v>
      </c>
      <c r="E585" s="45">
        <f t="shared" si="362"/>
        <v>97.09</v>
      </c>
      <c r="F585" s="45"/>
      <c r="G585" s="45"/>
      <c r="H585" s="44">
        <v>105638</v>
      </c>
      <c r="I585" s="15"/>
      <c r="J585" s="15"/>
      <c r="K585" s="15"/>
      <c r="L585" s="15"/>
      <c r="M585" s="44"/>
      <c r="N585" s="44"/>
      <c r="O585" s="44">
        <f t="shared" si="363"/>
        <v>963419</v>
      </c>
      <c r="P585" s="19">
        <f t="shared" si="364"/>
        <v>39500</v>
      </c>
      <c r="Q585" s="19">
        <f t="shared" si="365"/>
        <v>1002919</v>
      </c>
      <c r="R585" s="6">
        <f t="shared" si="366"/>
        <v>7020</v>
      </c>
      <c r="S585" s="6"/>
      <c r="T585" s="6"/>
      <c r="U585" s="126">
        <f t="shared" si="367"/>
        <v>4892</v>
      </c>
      <c r="V585" s="126">
        <f t="shared" si="368"/>
        <v>1123</v>
      </c>
      <c r="W585" s="6"/>
      <c r="X585" s="6"/>
      <c r="Y585" s="6"/>
      <c r="Z585" s="6"/>
      <c r="AA585" s="19">
        <f t="shared" si="369"/>
        <v>1015954</v>
      </c>
      <c r="AB585" s="19">
        <f t="shared" si="370"/>
        <v>1094812</v>
      </c>
      <c r="AC585" s="15">
        <f t="shared" si="371"/>
        <v>1006.26</v>
      </c>
      <c r="AD585" s="15">
        <f t="shared" si="372"/>
        <v>1094810.8799999999</v>
      </c>
      <c r="AE585" s="25"/>
      <c r="AF585" s="157">
        <f t="shared" si="373"/>
        <v>-1.1200000000000001</v>
      </c>
    </row>
    <row r="586" spans="1:32" s="4" customFormat="1" ht="25.5" x14ac:dyDescent="0.25">
      <c r="A586" s="64" t="s">
        <v>620</v>
      </c>
      <c r="B586" s="55" t="s">
        <v>464</v>
      </c>
      <c r="C586" s="16" t="s">
        <v>72</v>
      </c>
      <c r="D586" s="47">
        <v>2525</v>
      </c>
      <c r="E586" s="45">
        <f t="shared" si="362"/>
        <v>68.27</v>
      </c>
      <c r="F586" s="45"/>
      <c r="G586" s="45"/>
      <c r="H586" s="44">
        <v>172376</v>
      </c>
      <c r="I586" s="15"/>
      <c r="J586" s="15"/>
      <c r="K586" s="15"/>
      <c r="L586" s="15"/>
      <c r="M586" s="44"/>
      <c r="N586" s="44"/>
      <c r="O586" s="44">
        <f t="shared" si="363"/>
        <v>1572069</v>
      </c>
      <c r="P586" s="19">
        <f t="shared" si="364"/>
        <v>64455</v>
      </c>
      <c r="Q586" s="19">
        <f t="shared" si="365"/>
        <v>1636524</v>
      </c>
      <c r="R586" s="6">
        <f t="shared" si="366"/>
        <v>11456</v>
      </c>
      <c r="S586" s="6"/>
      <c r="T586" s="6"/>
      <c r="U586" s="126">
        <f t="shared" si="367"/>
        <v>7982</v>
      </c>
      <c r="V586" s="126">
        <f t="shared" si="368"/>
        <v>1832</v>
      </c>
      <c r="W586" s="6"/>
      <c r="X586" s="6"/>
      <c r="Y586" s="6"/>
      <c r="Z586" s="6"/>
      <c r="AA586" s="19">
        <f t="shared" si="369"/>
        <v>1657794</v>
      </c>
      <c r="AB586" s="19">
        <f t="shared" si="370"/>
        <v>1786472</v>
      </c>
      <c r="AC586" s="15">
        <f t="shared" si="371"/>
        <v>707.51</v>
      </c>
      <c r="AD586" s="15">
        <f t="shared" si="372"/>
        <v>1786462.75</v>
      </c>
      <c r="AE586" s="25"/>
      <c r="AF586" s="157">
        <f t="shared" si="373"/>
        <v>-9.25</v>
      </c>
    </row>
    <row r="587" spans="1:32" s="4" customFormat="1" ht="25.5" x14ac:dyDescent="0.25">
      <c r="A587" s="64" t="s">
        <v>621</v>
      </c>
      <c r="B587" s="55" t="s">
        <v>466</v>
      </c>
      <c r="C587" s="16" t="s">
        <v>72</v>
      </c>
      <c r="D587" s="47">
        <v>2525</v>
      </c>
      <c r="E587" s="45">
        <f t="shared" si="362"/>
        <v>99.83</v>
      </c>
      <c r="F587" s="45"/>
      <c r="G587" s="45"/>
      <c r="H587" s="44">
        <v>252072</v>
      </c>
      <c r="I587" s="15"/>
      <c r="J587" s="15"/>
      <c r="K587" s="15"/>
      <c r="L587" s="15"/>
      <c r="M587" s="44"/>
      <c r="N587" s="44"/>
      <c r="O587" s="44">
        <f t="shared" si="363"/>
        <v>2298897</v>
      </c>
      <c r="P587" s="19">
        <f t="shared" si="364"/>
        <v>94255</v>
      </c>
      <c r="Q587" s="19">
        <f t="shared" si="365"/>
        <v>2393152</v>
      </c>
      <c r="R587" s="6">
        <f t="shared" si="366"/>
        <v>16752</v>
      </c>
      <c r="S587" s="6"/>
      <c r="T587" s="6"/>
      <c r="U587" s="126">
        <f t="shared" si="367"/>
        <v>11672</v>
      </c>
      <c r="V587" s="126">
        <f t="shared" si="368"/>
        <v>2679</v>
      </c>
      <c r="W587" s="6"/>
      <c r="X587" s="6"/>
      <c r="Y587" s="6"/>
      <c r="Z587" s="6"/>
      <c r="AA587" s="19">
        <f t="shared" si="369"/>
        <v>2424255</v>
      </c>
      <c r="AB587" s="19">
        <f t="shared" si="370"/>
        <v>2612426</v>
      </c>
      <c r="AC587" s="15">
        <f t="shared" si="371"/>
        <v>1034.6199999999999</v>
      </c>
      <c r="AD587" s="15">
        <f t="shared" si="372"/>
        <v>2612415.5</v>
      </c>
      <c r="AE587" s="25"/>
      <c r="AF587" s="157">
        <f t="shared" si="373"/>
        <v>-10.5</v>
      </c>
    </row>
    <row r="588" spans="1:32" s="4" customFormat="1" x14ac:dyDescent="0.25">
      <c r="A588" s="64" t="s">
        <v>622</v>
      </c>
      <c r="B588" s="55" t="s">
        <v>412</v>
      </c>
      <c r="C588" s="16" t="s">
        <v>468</v>
      </c>
      <c r="D588" s="47">
        <f>2282</f>
        <v>2282</v>
      </c>
      <c r="E588" s="45">
        <f t="shared" si="362"/>
        <v>196.34</v>
      </c>
      <c r="F588" s="45"/>
      <c r="G588" s="45"/>
      <c r="H588" s="44">
        <v>448050</v>
      </c>
      <c r="I588" s="15"/>
      <c r="J588" s="15"/>
      <c r="K588" s="15"/>
      <c r="L588" s="15"/>
      <c r="M588" s="44"/>
      <c r="N588" s="44"/>
      <c r="O588" s="44">
        <f t="shared" si="363"/>
        <v>4086216</v>
      </c>
      <c r="P588" s="19">
        <f t="shared" si="364"/>
        <v>167535</v>
      </c>
      <c r="Q588" s="19">
        <f t="shared" si="365"/>
        <v>4253751</v>
      </c>
      <c r="R588" s="6">
        <f t="shared" si="366"/>
        <v>29776</v>
      </c>
      <c r="S588" s="6"/>
      <c r="T588" s="6"/>
      <c r="U588" s="126">
        <f t="shared" si="367"/>
        <v>20747</v>
      </c>
      <c r="V588" s="126">
        <f t="shared" si="368"/>
        <v>4762</v>
      </c>
      <c r="W588" s="6"/>
      <c r="X588" s="6"/>
      <c r="Y588" s="6"/>
      <c r="Z588" s="6"/>
      <c r="AA588" s="19">
        <f t="shared" si="369"/>
        <v>4309036</v>
      </c>
      <c r="AB588" s="19">
        <f t="shared" si="370"/>
        <v>4643503</v>
      </c>
      <c r="AC588" s="15">
        <f t="shared" si="371"/>
        <v>2034.84</v>
      </c>
      <c r="AD588" s="15">
        <f t="shared" si="372"/>
        <v>4643504.88</v>
      </c>
      <c r="AE588" s="25"/>
      <c r="AF588" s="157">
        <f t="shared" si="373"/>
        <v>1.88</v>
      </c>
    </row>
    <row r="589" spans="1:32" s="4" customFormat="1" x14ac:dyDescent="0.25">
      <c r="A589" s="64" t="s">
        <v>623</v>
      </c>
      <c r="B589" s="55" t="s">
        <v>470</v>
      </c>
      <c r="C589" s="16" t="s">
        <v>468</v>
      </c>
      <c r="D589" s="47">
        <v>487</v>
      </c>
      <c r="E589" s="45">
        <f t="shared" si="362"/>
        <v>82.52</v>
      </c>
      <c r="F589" s="45"/>
      <c r="G589" s="45"/>
      <c r="H589" s="44">
        <v>40188</v>
      </c>
      <c r="I589" s="15"/>
      <c r="J589" s="15"/>
      <c r="K589" s="15"/>
      <c r="L589" s="15"/>
      <c r="M589" s="44"/>
      <c r="N589" s="44"/>
      <c r="O589" s="44">
        <f t="shared" si="363"/>
        <v>366515</v>
      </c>
      <c r="P589" s="19">
        <f t="shared" si="364"/>
        <v>15027</v>
      </c>
      <c r="Q589" s="19">
        <f t="shared" si="365"/>
        <v>381542</v>
      </c>
      <c r="R589" s="6">
        <f t="shared" si="366"/>
        <v>2671</v>
      </c>
      <c r="S589" s="6"/>
      <c r="T589" s="6"/>
      <c r="U589" s="126">
        <f t="shared" si="367"/>
        <v>1861</v>
      </c>
      <c r="V589" s="126">
        <f t="shared" si="368"/>
        <v>427</v>
      </c>
      <c r="W589" s="6"/>
      <c r="X589" s="6"/>
      <c r="Y589" s="6"/>
      <c r="Z589" s="6"/>
      <c r="AA589" s="19">
        <f t="shared" si="369"/>
        <v>386501</v>
      </c>
      <c r="AB589" s="19">
        <f t="shared" si="370"/>
        <v>416501</v>
      </c>
      <c r="AC589" s="15">
        <f t="shared" si="371"/>
        <v>855.24</v>
      </c>
      <c r="AD589" s="15">
        <f t="shared" si="372"/>
        <v>416501.88</v>
      </c>
      <c r="AE589" s="25"/>
      <c r="AF589" s="157">
        <f t="shared" si="373"/>
        <v>0.88</v>
      </c>
    </row>
    <row r="590" spans="1:32" s="4" customFormat="1" ht="25.5" x14ac:dyDescent="0.25">
      <c r="A590" s="64" t="s">
        <v>624</v>
      </c>
      <c r="B590" s="55" t="s">
        <v>414</v>
      </c>
      <c r="C590" s="16" t="s">
        <v>67</v>
      </c>
      <c r="D590" s="47">
        <v>11</v>
      </c>
      <c r="E590" s="45">
        <f t="shared" si="362"/>
        <v>1162.55</v>
      </c>
      <c r="F590" s="45"/>
      <c r="G590" s="45"/>
      <c r="H590" s="44">
        <v>12788</v>
      </c>
      <c r="I590" s="15"/>
      <c r="J590" s="15"/>
      <c r="K590" s="15"/>
      <c r="L590" s="15"/>
      <c r="M590" s="44"/>
      <c r="N590" s="44"/>
      <c r="O590" s="44">
        <f t="shared" si="363"/>
        <v>116627</v>
      </c>
      <c r="P590" s="19">
        <f t="shared" si="364"/>
        <v>4782</v>
      </c>
      <c r="Q590" s="19">
        <f t="shared" si="365"/>
        <v>121409</v>
      </c>
      <c r="R590" s="6">
        <f t="shared" si="366"/>
        <v>850</v>
      </c>
      <c r="S590" s="6"/>
      <c r="T590" s="6"/>
      <c r="U590" s="126">
        <f t="shared" si="367"/>
        <v>592</v>
      </c>
      <c r="V590" s="126">
        <f t="shared" si="368"/>
        <v>136</v>
      </c>
      <c r="W590" s="6"/>
      <c r="X590" s="6"/>
      <c r="Y590" s="6"/>
      <c r="Z590" s="6"/>
      <c r="AA590" s="19">
        <f t="shared" si="369"/>
        <v>122987</v>
      </c>
      <c r="AB590" s="19">
        <f t="shared" si="370"/>
        <v>132533</v>
      </c>
      <c r="AC590" s="15">
        <f t="shared" si="371"/>
        <v>12048.45</v>
      </c>
      <c r="AD590" s="15">
        <f t="shared" si="372"/>
        <v>132532.95000000001</v>
      </c>
      <c r="AE590" s="25"/>
      <c r="AF590" s="157">
        <f t="shared" si="373"/>
        <v>-0.05</v>
      </c>
    </row>
    <row r="591" spans="1:32" s="4" customFormat="1" ht="25.5" x14ac:dyDescent="0.25">
      <c r="A591" s="64" t="s">
        <v>625</v>
      </c>
      <c r="B591" s="55" t="s">
        <v>415</v>
      </c>
      <c r="C591" s="16" t="s">
        <v>67</v>
      </c>
      <c r="D591" s="47">
        <v>1</v>
      </c>
      <c r="E591" s="45">
        <f t="shared" si="362"/>
        <v>1527</v>
      </c>
      <c r="F591" s="45"/>
      <c r="G591" s="45"/>
      <c r="H591" s="44">
        <v>1527</v>
      </c>
      <c r="I591" s="15"/>
      <c r="J591" s="15"/>
      <c r="K591" s="15"/>
      <c r="L591" s="15"/>
      <c r="M591" s="44"/>
      <c r="N591" s="44"/>
      <c r="O591" s="44">
        <f t="shared" si="363"/>
        <v>13926</v>
      </c>
      <c r="P591" s="19">
        <f t="shared" si="364"/>
        <v>571</v>
      </c>
      <c r="Q591" s="19">
        <f t="shared" si="365"/>
        <v>14497</v>
      </c>
      <c r="R591" s="6">
        <f t="shared" si="366"/>
        <v>101</v>
      </c>
      <c r="S591" s="6"/>
      <c r="T591" s="6"/>
      <c r="U591" s="126">
        <f t="shared" si="367"/>
        <v>71</v>
      </c>
      <c r="V591" s="126">
        <f t="shared" si="368"/>
        <v>16</v>
      </c>
      <c r="W591" s="6"/>
      <c r="X591" s="6"/>
      <c r="Y591" s="6"/>
      <c r="Z591" s="6"/>
      <c r="AA591" s="19">
        <f t="shared" si="369"/>
        <v>14685</v>
      </c>
      <c r="AB591" s="19">
        <f t="shared" si="370"/>
        <v>15825</v>
      </c>
      <c r="AC591" s="15">
        <f t="shared" si="371"/>
        <v>15825</v>
      </c>
      <c r="AD591" s="15">
        <f t="shared" si="372"/>
        <v>15825</v>
      </c>
      <c r="AE591" s="25"/>
      <c r="AF591" s="157">
        <f t="shared" si="373"/>
        <v>0</v>
      </c>
    </row>
    <row r="592" spans="1:32" s="4" customFormat="1" ht="25.5" x14ac:dyDescent="0.25">
      <c r="A592" s="64" t="s">
        <v>626</v>
      </c>
      <c r="B592" s="55" t="s">
        <v>416</v>
      </c>
      <c r="C592" s="16" t="s">
        <v>67</v>
      </c>
      <c r="D592" s="47">
        <v>5</v>
      </c>
      <c r="E592" s="45">
        <f t="shared" si="362"/>
        <v>5402</v>
      </c>
      <c r="F592" s="45"/>
      <c r="G592" s="45"/>
      <c r="H592" s="44">
        <v>27010</v>
      </c>
      <c r="I592" s="15"/>
      <c r="J592" s="15"/>
      <c r="K592" s="15"/>
      <c r="L592" s="15"/>
      <c r="M592" s="44"/>
      <c r="N592" s="44"/>
      <c r="O592" s="44">
        <f t="shared" si="363"/>
        <v>246331</v>
      </c>
      <c r="P592" s="19">
        <f t="shared" si="364"/>
        <v>10100</v>
      </c>
      <c r="Q592" s="19">
        <f t="shared" si="365"/>
        <v>256431</v>
      </c>
      <c r="R592" s="6">
        <f t="shared" si="366"/>
        <v>1795</v>
      </c>
      <c r="S592" s="6"/>
      <c r="T592" s="6"/>
      <c r="U592" s="126">
        <f t="shared" si="367"/>
        <v>1251</v>
      </c>
      <c r="V592" s="126">
        <f t="shared" si="368"/>
        <v>287</v>
      </c>
      <c r="W592" s="6"/>
      <c r="X592" s="6"/>
      <c r="Y592" s="6"/>
      <c r="Z592" s="6"/>
      <c r="AA592" s="19">
        <f t="shared" si="369"/>
        <v>259764</v>
      </c>
      <c r="AB592" s="19">
        <f t="shared" si="370"/>
        <v>279927</v>
      </c>
      <c r="AC592" s="15">
        <f t="shared" si="371"/>
        <v>55985.4</v>
      </c>
      <c r="AD592" s="15">
        <f t="shared" si="372"/>
        <v>279927</v>
      </c>
      <c r="AE592" s="25"/>
      <c r="AF592" s="157">
        <f t="shared" si="373"/>
        <v>0</v>
      </c>
    </row>
    <row r="593" spans="1:32" s="4" customFormat="1" ht="25.5" x14ac:dyDescent="0.25">
      <c r="A593" s="64" t="s">
        <v>627</v>
      </c>
      <c r="B593" s="55" t="s">
        <v>628</v>
      </c>
      <c r="C593" s="16" t="s">
        <v>67</v>
      </c>
      <c r="D593" s="47">
        <v>5</v>
      </c>
      <c r="E593" s="45">
        <f t="shared" si="362"/>
        <v>33034</v>
      </c>
      <c r="F593" s="45"/>
      <c r="G593" s="45"/>
      <c r="H593" s="44">
        <v>165170</v>
      </c>
      <c r="I593" s="15"/>
      <c r="J593" s="15"/>
      <c r="K593" s="15"/>
      <c r="L593" s="15"/>
      <c r="M593" s="44"/>
      <c r="N593" s="44"/>
      <c r="O593" s="44">
        <f t="shared" si="363"/>
        <v>1506350</v>
      </c>
      <c r="P593" s="19">
        <f t="shared" si="364"/>
        <v>61760</v>
      </c>
      <c r="Q593" s="19">
        <f t="shared" si="365"/>
        <v>1568110</v>
      </c>
      <c r="R593" s="6">
        <f t="shared" si="366"/>
        <v>10977</v>
      </c>
      <c r="S593" s="6"/>
      <c r="T593" s="6"/>
      <c r="U593" s="126">
        <f t="shared" si="367"/>
        <v>7648</v>
      </c>
      <c r="V593" s="126">
        <f t="shared" si="368"/>
        <v>1755</v>
      </c>
      <c r="W593" s="6"/>
      <c r="X593" s="6"/>
      <c r="Y593" s="6"/>
      <c r="Z593" s="6"/>
      <c r="AA593" s="19">
        <f t="shared" si="369"/>
        <v>1588490</v>
      </c>
      <c r="AB593" s="19">
        <f t="shared" si="370"/>
        <v>1711789</v>
      </c>
      <c r="AC593" s="15">
        <f t="shared" si="371"/>
        <v>342357.8</v>
      </c>
      <c r="AD593" s="15">
        <f t="shared" si="372"/>
        <v>1711789</v>
      </c>
      <c r="AE593" s="25"/>
      <c r="AF593" s="157">
        <f t="shared" si="373"/>
        <v>0</v>
      </c>
    </row>
    <row r="594" spans="1:32" s="4" customFormat="1" x14ac:dyDescent="0.25">
      <c r="A594" s="64" t="s">
        <v>629</v>
      </c>
      <c r="B594" s="55" t="s">
        <v>475</v>
      </c>
      <c r="C594" s="16" t="s">
        <v>468</v>
      </c>
      <c r="D594" s="47">
        <v>162.9</v>
      </c>
      <c r="E594" s="45">
        <f t="shared" si="362"/>
        <v>661.12</v>
      </c>
      <c r="F594" s="45"/>
      <c r="G594" s="45"/>
      <c r="H594" s="44">
        <v>107697</v>
      </c>
      <c r="I594" s="15"/>
      <c r="J594" s="15"/>
      <c r="K594" s="15"/>
      <c r="L594" s="15"/>
      <c r="M594" s="44"/>
      <c r="N594" s="44"/>
      <c r="O594" s="44">
        <f t="shared" si="363"/>
        <v>982197</v>
      </c>
      <c r="P594" s="19">
        <f t="shared" si="364"/>
        <v>40270</v>
      </c>
      <c r="Q594" s="19">
        <f t="shared" si="365"/>
        <v>1022467</v>
      </c>
      <c r="R594" s="6">
        <f t="shared" si="366"/>
        <v>7157</v>
      </c>
      <c r="S594" s="6"/>
      <c r="T594" s="6"/>
      <c r="U594" s="126">
        <f t="shared" si="367"/>
        <v>4987</v>
      </c>
      <c r="V594" s="126">
        <f t="shared" si="368"/>
        <v>1145</v>
      </c>
      <c r="W594" s="6"/>
      <c r="X594" s="6"/>
      <c r="Y594" s="6"/>
      <c r="Z594" s="6"/>
      <c r="AA594" s="19">
        <f t="shared" si="369"/>
        <v>1035756</v>
      </c>
      <c r="AB594" s="19">
        <f t="shared" si="370"/>
        <v>1116151</v>
      </c>
      <c r="AC594" s="15">
        <f t="shared" si="371"/>
        <v>6851.76</v>
      </c>
      <c r="AD594" s="15">
        <f t="shared" si="372"/>
        <v>1116151.7</v>
      </c>
      <c r="AE594" s="25"/>
      <c r="AF594" s="157">
        <f t="shared" si="373"/>
        <v>0.7</v>
      </c>
    </row>
    <row r="595" spans="1:32" s="4" customFormat="1" x14ac:dyDescent="0.25">
      <c r="A595" s="64" t="s">
        <v>630</v>
      </c>
      <c r="B595" s="55" t="s">
        <v>477</v>
      </c>
      <c r="C595" s="16" t="s">
        <v>67</v>
      </c>
      <c r="D595" s="47">
        <v>8</v>
      </c>
      <c r="E595" s="45">
        <f t="shared" si="362"/>
        <v>3222</v>
      </c>
      <c r="F595" s="45"/>
      <c r="G595" s="45"/>
      <c r="H595" s="44">
        <v>25776</v>
      </c>
      <c r="I595" s="15"/>
      <c r="J595" s="15"/>
      <c r="K595" s="15"/>
      <c r="L595" s="15"/>
      <c r="M595" s="44"/>
      <c r="N595" s="44"/>
      <c r="O595" s="44">
        <f t="shared" si="363"/>
        <v>235077</v>
      </c>
      <c r="P595" s="19">
        <f t="shared" si="364"/>
        <v>9638</v>
      </c>
      <c r="Q595" s="19">
        <f t="shared" si="365"/>
        <v>244715</v>
      </c>
      <c r="R595" s="6">
        <f t="shared" si="366"/>
        <v>1713</v>
      </c>
      <c r="S595" s="6"/>
      <c r="T595" s="6"/>
      <c r="U595" s="126">
        <f t="shared" si="367"/>
        <v>1194</v>
      </c>
      <c r="V595" s="126">
        <f t="shared" si="368"/>
        <v>274</v>
      </c>
      <c r="W595" s="6"/>
      <c r="X595" s="6"/>
      <c r="Y595" s="6"/>
      <c r="Z595" s="6"/>
      <c r="AA595" s="19">
        <f t="shared" si="369"/>
        <v>247896</v>
      </c>
      <c r="AB595" s="19">
        <f t="shared" si="370"/>
        <v>267138</v>
      </c>
      <c r="AC595" s="15">
        <f t="shared" si="371"/>
        <v>33392.25</v>
      </c>
      <c r="AD595" s="15">
        <f t="shared" si="372"/>
        <v>267138</v>
      </c>
      <c r="AE595" s="25"/>
      <c r="AF595" s="157">
        <f t="shared" si="373"/>
        <v>0</v>
      </c>
    </row>
    <row r="596" spans="1:32" s="4" customFormat="1" x14ac:dyDescent="0.25">
      <c r="A596" s="64" t="s">
        <v>631</v>
      </c>
      <c r="B596" s="55" t="s">
        <v>420</v>
      </c>
      <c r="C596" s="16" t="s">
        <v>67</v>
      </c>
      <c r="D596" s="47">
        <v>14</v>
      </c>
      <c r="E596" s="45">
        <f t="shared" si="362"/>
        <v>1902.36</v>
      </c>
      <c r="F596" s="45"/>
      <c r="G596" s="45"/>
      <c r="H596" s="44">
        <v>26633</v>
      </c>
      <c r="I596" s="15"/>
      <c r="J596" s="15"/>
      <c r="K596" s="15"/>
      <c r="L596" s="15"/>
      <c r="M596" s="44"/>
      <c r="N596" s="44"/>
      <c r="O596" s="44">
        <f t="shared" si="363"/>
        <v>242893</v>
      </c>
      <c r="P596" s="19">
        <f t="shared" si="364"/>
        <v>9959</v>
      </c>
      <c r="Q596" s="19">
        <f t="shared" si="365"/>
        <v>252852</v>
      </c>
      <c r="R596" s="6">
        <f t="shared" si="366"/>
        <v>1770</v>
      </c>
      <c r="S596" s="6"/>
      <c r="T596" s="6"/>
      <c r="U596" s="126">
        <f t="shared" si="367"/>
        <v>1233</v>
      </c>
      <c r="V596" s="126">
        <f t="shared" si="368"/>
        <v>283</v>
      </c>
      <c r="W596" s="6"/>
      <c r="X596" s="6"/>
      <c r="Y596" s="6"/>
      <c r="Z596" s="6"/>
      <c r="AA596" s="19">
        <f t="shared" si="369"/>
        <v>256138</v>
      </c>
      <c r="AB596" s="19">
        <f t="shared" si="370"/>
        <v>276019</v>
      </c>
      <c r="AC596" s="15">
        <f t="shared" si="371"/>
        <v>19715.64</v>
      </c>
      <c r="AD596" s="15">
        <f t="shared" si="372"/>
        <v>276018.96000000002</v>
      </c>
      <c r="AE596" s="25"/>
      <c r="AF596" s="157">
        <f t="shared" si="373"/>
        <v>-0.04</v>
      </c>
    </row>
    <row r="597" spans="1:32" s="4" customFormat="1" x14ac:dyDescent="0.25">
      <c r="A597" s="64" t="s">
        <v>632</v>
      </c>
      <c r="B597" s="55" t="s">
        <v>633</v>
      </c>
      <c r="C597" s="16" t="s">
        <v>468</v>
      </c>
      <c r="D597" s="47">
        <v>695</v>
      </c>
      <c r="E597" s="45">
        <f t="shared" si="362"/>
        <v>274.35000000000002</v>
      </c>
      <c r="F597" s="45"/>
      <c r="G597" s="45"/>
      <c r="H597" s="44">
        <v>190675</v>
      </c>
      <c r="I597" s="15"/>
      <c r="J597" s="15"/>
      <c r="K597" s="15"/>
      <c r="L597" s="15"/>
      <c r="M597" s="44"/>
      <c r="N597" s="44"/>
      <c r="O597" s="44">
        <f t="shared" si="363"/>
        <v>1738956</v>
      </c>
      <c r="P597" s="19">
        <f t="shared" si="364"/>
        <v>71297</v>
      </c>
      <c r="Q597" s="19">
        <f t="shared" si="365"/>
        <v>1810253</v>
      </c>
      <c r="R597" s="6">
        <f t="shared" si="366"/>
        <v>12672</v>
      </c>
      <c r="S597" s="6"/>
      <c r="T597" s="6"/>
      <c r="U597" s="126">
        <f t="shared" si="367"/>
        <v>8829</v>
      </c>
      <c r="V597" s="126">
        <f t="shared" si="368"/>
        <v>2026</v>
      </c>
      <c r="W597" s="6"/>
      <c r="X597" s="6"/>
      <c r="Y597" s="6"/>
      <c r="Z597" s="6"/>
      <c r="AA597" s="19">
        <f t="shared" si="369"/>
        <v>1833780</v>
      </c>
      <c r="AB597" s="19">
        <f t="shared" si="370"/>
        <v>1976118</v>
      </c>
      <c r="AC597" s="15">
        <f t="shared" si="371"/>
        <v>2843.34</v>
      </c>
      <c r="AD597" s="15">
        <f t="shared" si="372"/>
        <v>1976121.3</v>
      </c>
      <c r="AE597" s="25"/>
      <c r="AF597" s="157">
        <f t="shared" si="373"/>
        <v>3.3</v>
      </c>
    </row>
    <row r="598" spans="1:32" s="4" customFormat="1" x14ac:dyDescent="0.25">
      <c r="A598" s="64" t="s">
        <v>634</v>
      </c>
      <c r="B598" s="55" t="s">
        <v>487</v>
      </c>
      <c r="C598" s="16" t="s">
        <v>72</v>
      </c>
      <c r="D598" s="47">
        <v>73</v>
      </c>
      <c r="E598" s="45">
        <f t="shared" si="362"/>
        <v>278.39999999999998</v>
      </c>
      <c r="F598" s="45"/>
      <c r="G598" s="45"/>
      <c r="H598" s="44">
        <v>20323</v>
      </c>
      <c r="I598" s="15"/>
      <c r="J598" s="15"/>
      <c r="K598" s="15"/>
      <c r="L598" s="15"/>
      <c r="M598" s="44"/>
      <c r="N598" s="44"/>
      <c r="O598" s="44">
        <f t="shared" si="363"/>
        <v>185346</v>
      </c>
      <c r="P598" s="19">
        <f t="shared" si="364"/>
        <v>7599</v>
      </c>
      <c r="Q598" s="19">
        <f t="shared" si="365"/>
        <v>192945</v>
      </c>
      <c r="R598" s="6">
        <f t="shared" si="366"/>
        <v>1351</v>
      </c>
      <c r="S598" s="6"/>
      <c r="T598" s="6"/>
      <c r="U598" s="126">
        <f t="shared" si="367"/>
        <v>941</v>
      </c>
      <c r="V598" s="126">
        <f t="shared" si="368"/>
        <v>216</v>
      </c>
      <c r="W598" s="6"/>
      <c r="X598" s="6"/>
      <c r="Y598" s="6"/>
      <c r="Z598" s="6"/>
      <c r="AA598" s="19">
        <f t="shared" si="369"/>
        <v>195453</v>
      </c>
      <c r="AB598" s="19">
        <f t="shared" si="370"/>
        <v>210624</v>
      </c>
      <c r="AC598" s="15">
        <f t="shared" si="371"/>
        <v>2885.26</v>
      </c>
      <c r="AD598" s="15">
        <f t="shared" si="372"/>
        <v>210623.98</v>
      </c>
      <c r="AE598" s="25"/>
      <c r="AF598" s="157">
        <f t="shared" si="373"/>
        <v>-0.02</v>
      </c>
    </row>
    <row r="599" spans="1:32" s="43" customFormat="1" x14ac:dyDescent="0.25">
      <c r="A599" s="23" t="s">
        <v>635</v>
      </c>
      <c r="B599" s="17" t="s">
        <v>7</v>
      </c>
      <c r="C599" s="24"/>
      <c r="D599" s="13"/>
      <c r="E599" s="45"/>
      <c r="F599" s="45"/>
      <c r="G599" s="45"/>
      <c r="H599" s="44"/>
      <c r="I599" s="15"/>
      <c r="J599" s="15"/>
      <c r="K599" s="15"/>
      <c r="L599" s="15"/>
      <c r="M599" s="44"/>
      <c r="N599" s="44"/>
      <c r="O599" s="44"/>
      <c r="P599" s="19"/>
      <c r="Q599" s="19"/>
      <c r="R599" s="6"/>
      <c r="S599" s="6"/>
      <c r="T599" s="6"/>
      <c r="U599" s="126"/>
      <c r="V599" s="126"/>
      <c r="W599" s="6"/>
      <c r="X599" s="6"/>
      <c r="Y599" s="6"/>
      <c r="Z599" s="6"/>
      <c r="AA599" s="19"/>
      <c r="AB599" s="19"/>
      <c r="AC599" s="15"/>
      <c r="AD599" s="15"/>
      <c r="AE599" s="25"/>
      <c r="AF599" s="157">
        <f t="shared" si="373"/>
        <v>0</v>
      </c>
    </row>
    <row r="600" spans="1:32" s="43" customFormat="1" ht="25.5" x14ac:dyDescent="0.25">
      <c r="A600" s="23" t="s">
        <v>636</v>
      </c>
      <c r="B600" s="17" t="s">
        <v>130</v>
      </c>
      <c r="C600" s="24"/>
      <c r="D600" s="13"/>
      <c r="E600" s="45"/>
      <c r="F600" s="45"/>
      <c r="G600" s="45"/>
      <c r="H600" s="44"/>
      <c r="I600" s="15"/>
      <c r="J600" s="15"/>
      <c r="K600" s="15"/>
      <c r="L600" s="15"/>
      <c r="M600" s="44"/>
      <c r="N600" s="44"/>
      <c r="O600" s="44"/>
      <c r="P600" s="19"/>
      <c r="Q600" s="19"/>
      <c r="R600" s="6"/>
      <c r="S600" s="6"/>
      <c r="T600" s="6"/>
      <c r="U600" s="126"/>
      <c r="V600" s="126"/>
      <c r="W600" s="6"/>
      <c r="X600" s="6"/>
      <c r="Y600" s="6"/>
      <c r="Z600" s="6"/>
      <c r="AA600" s="19"/>
      <c r="AB600" s="19"/>
      <c r="AC600" s="15"/>
      <c r="AD600" s="15"/>
      <c r="AE600" s="25"/>
      <c r="AF600" s="157">
        <f t="shared" si="373"/>
        <v>0</v>
      </c>
    </row>
    <row r="601" spans="1:32" s="4" customFormat="1" x14ac:dyDescent="0.25">
      <c r="A601" s="64" t="s">
        <v>637</v>
      </c>
      <c r="B601" s="55" t="s">
        <v>422</v>
      </c>
      <c r="C601" s="16" t="s">
        <v>70</v>
      </c>
      <c r="D601" s="47">
        <f>475.1+47.5</f>
        <v>522.6</v>
      </c>
      <c r="E601" s="45">
        <f t="shared" si="362"/>
        <v>100.37</v>
      </c>
      <c r="F601" s="45"/>
      <c r="G601" s="45"/>
      <c r="H601" s="44">
        <v>52452</v>
      </c>
      <c r="I601" s="15"/>
      <c r="J601" s="15"/>
      <c r="K601" s="15"/>
      <c r="L601" s="15"/>
      <c r="M601" s="44"/>
      <c r="N601" s="44"/>
      <c r="O601" s="44">
        <f t="shared" si="363"/>
        <v>478362</v>
      </c>
      <c r="P601" s="19">
        <f t="shared" si="364"/>
        <v>19613</v>
      </c>
      <c r="Q601" s="19">
        <f t="shared" si="365"/>
        <v>497975</v>
      </c>
      <c r="R601" s="6">
        <f t="shared" si="366"/>
        <v>3486</v>
      </c>
      <c r="S601" s="6"/>
      <c r="T601" s="6"/>
      <c r="U601" s="126">
        <f t="shared" si="367"/>
        <v>2429</v>
      </c>
      <c r="V601" s="126">
        <f t="shared" si="368"/>
        <v>557</v>
      </c>
      <c r="W601" s="6"/>
      <c r="X601" s="6"/>
      <c r="Y601" s="6"/>
      <c r="Z601" s="6"/>
      <c r="AA601" s="19">
        <f t="shared" si="369"/>
        <v>504447</v>
      </c>
      <c r="AB601" s="19">
        <f t="shared" si="370"/>
        <v>543602</v>
      </c>
      <c r="AC601" s="15">
        <f t="shared" ref="AC601:AC609" si="374">AB601/D601</f>
        <v>1040.19</v>
      </c>
      <c r="AD601" s="15">
        <f t="shared" ref="AD601:AD609" si="375">AC601*D601</f>
        <v>543603.29</v>
      </c>
      <c r="AE601" s="25"/>
      <c r="AF601" s="157">
        <f t="shared" si="373"/>
        <v>1.29</v>
      </c>
    </row>
    <row r="602" spans="1:32" s="4" customFormat="1" x14ac:dyDescent="0.25">
      <c r="A602" s="64" t="s">
        <v>638</v>
      </c>
      <c r="B602" s="55" t="s">
        <v>496</v>
      </c>
      <c r="C602" s="16" t="s">
        <v>468</v>
      </c>
      <c r="D602" s="47">
        <v>53.95</v>
      </c>
      <c r="E602" s="45">
        <f t="shared" si="362"/>
        <v>6400.33</v>
      </c>
      <c r="F602" s="45"/>
      <c r="G602" s="45"/>
      <c r="H602" s="44">
        <v>345298</v>
      </c>
      <c r="I602" s="15"/>
      <c r="J602" s="15"/>
      <c r="K602" s="15"/>
      <c r="L602" s="15"/>
      <c r="M602" s="44"/>
      <c r="N602" s="44"/>
      <c r="O602" s="44">
        <f t="shared" si="363"/>
        <v>3149118</v>
      </c>
      <c r="P602" s="19">
        <f t="shared" si="364"/>
        <v>129114</v>
      </c>
      <c r="Q602" s="19">
        <f t="shared" si="365"/>
        <v>3278232</v>
      </c>
      <c r="R602" s="6">
        <f t="shared" si="366"/>
        <v>22948</v>
      </c>
      <c r="S602" s="6"/>
      <c r="T602" s="6"/>
      <c r="U602" s="126">
        <f t="shared" si="367"/>
        <v>15989</v>
      </c>
      <c r="V602" s="126">
        <f t="shared" si="368"/>
        <v>3670</v>
      </c>
      <c r="W602" s="6"/>
      <c r="X602" s="6"/>
      <c r="Y602" s="6"/>
      <c r="Z602" s="6"/>
      <c r="AA602" s="19">
        <f t="shared" si="369"/>
        <v>3320839</v>
      </c>
      <c r="AB602" s="19">
        <f t="shared" si="370"/>
        <v>3578603</v>
      </c>
      <c r="AC602" s="15">
        <f t="shared" si="374"/>
        <v>66331.839999999997</v>
      </c>
      <c r="AD602" s="15">
        <f t="shared" si="375"/>
        <v>3578602.77</v>
      </c>
      <c r="AE602" s="25"/>
      <c r="AF602" s="157">
        <f t="shared" si="373"/>
        <v>-0.23</v>
      </c>
    </row>
    <row r="603" spans="1:32" s="4" customFormat="1" ht="25.5" x14ac:dyDescent="0.25">
      <c r="A603" s="64" t="s">
        <v>639</v>
      </c>
      <c r="B603" s="55" t="s">
        <v>743</v>
      </c>
      <c r="C603" s="16" t="s">
        <v>72</v>
      </c>
      <c r="D603" s="47">
        <v>87</v>
      </c>
      <c r="E603" s="45">
        <f t="shared" si="362"/>
        <v>7.55</v>
      </c>
      <c r="F603" s="45"/>
      <c r="G603" s="45"/>
      <c r="H603" s="44">
        <v>657</v>
      </c>
      <c r="I603" s="15"/>
      <c r="J603" s="15"/>
      <c r="K603" s="15"/>
      <c r="L603" s="15"/>
      <c r="M603" s="44"/>
      <c r="N603" s="44"/>
      <c r="O603" s="44">
        <f t="shared" si="363"/>
        <v>5992</v>
      </c>
      <c r="P603" s="19">
        <f t="shared" si="364"/>
        <v>246</v>
      </c>
      <c r="Q603" s="19">
        <f t="shared" si="365"/>
        <v>6238</v>
      </c>
      <c r="R603" s="6">
        <f t="shared" si="366"/>
        <v>44</v>
      </c>
      <c r="S603" s="6"/>
      <c r="T603" s="6"/>
      <c r="U603" s="126">
        <f t="shared" si="367"/>
        <v>30</v>
      </c>
      <c r="V603" s="126">
        <f t="shared" si="368"/>
        <v>7</v>
      </c>
      <c r="W603" s="6"/>
      <c r="X603" s="6"/>
      <c r="Y603" s="6"/>
      <c r="Z603" s="6"/>
      <c r="AA603" s="19">
        <f t="shared" si="369"/>
        <v>6319</v>
      </c>
      <c r="AB603" s="19">
        <f t="shared" si="370"/>
        <v>6809</v>
      </c>
      <c r="AC603" s="15">
        <f t="shared" si="374"/>
        <v>78.260000000000005</v>
      </c>
      <c r="AD603" s="15">
        <f t="shared" si="375"/>
        <v>6808.62</v>
      </c>
      <c r="AE603" s="25"/>
      <c r="AF603" s="157">
        <f t="shared" si="373"/>
        <v>-0.38</v>
      </c>
    </row>
    <row r="604" spans="1:32" s="4" customFormat="1" x14ac:dyDescent="0.25">
      <c r="A604" s="64" t="s">
        <v>640</v>
      </c>
      <c r="B604" s="55" t="s">
        <v>132</v>
      </c>
      <c r="C604" s="16" t="s">
        <v>70</v>
      </c>
      <c r="D604" s="47">
        <v>1.93</v>
      </c>
      <c r="E604" s="45">
        <f t="shared" si="362"/>
        <v>5445.6</v>
      </c>
      <c r="F604" s="45"/>
      <c r="G604" s="45"/>
      <c r="H604" s="44">
        <v>10510</v>
      </c>
      <c r="I604" s="15"/>
      <c r="J604" s="15"/>
      <c r="K604" s="15"/>
      <c r="L604" s="15"/>
      <c r="M604" s="44"/>
      <c r="N604" s="44"/>
      <c r="O604" s="44">
        <f t="shared" si="363"/>
        <v>95851</v>
      </c>
      <c r="P604" s="19">
        <f t="shared" si="364"/>
        <v>3930</v>
      </c>
      <c r="Q604" s="19">
        <f t="shared" si="365"/>
        <v>99781</v>
      </c>
      <c r="R604" s="6">
        <f t="shared" si="366"/>
        <v>698</v>
      </c>
      <c r="S604" s="6"/>
      <c r="T604" s="6"/>
      <c r="U604" s="126">
        <f t="shared" si="367"/>
        <v>487</v>
      </c>
      <c r="V604" s="126">
        <f t="shared" si="368"/>
        <v>112</v>
      </c>
      <c r="W604" s="6"/>
      <c r="X604" s="6"/>
      <c r="Y604" s="6"/>
      <c r="Z604" s="6"/>
      <c r="AA604" s="19">
        <f t="shared" si="369"/>
        <v>101078</v>
      </c>
      <c r="AB604" s="19">
        <f t="shared" si="370"/>
        <v>108924</v>
      </c>
      <c r="AC604" s="15">
        <f t="shared" si="374"/>
        <v>56437.31</v>
      </c>
      <c r="AD604" s="15">
        <f t="shared" si="375"/>
        <v>108924.01</v>
      </c>
      <c r="AE604" s="25"/>
      <c r="AF604" s="157">
        <f t="shared" si="373"/>
        <v>0.01</v>
      </c>
    </row>
    <row r="605" spans="1:32" s="4" customFormat="1" ht="25.5" x14ac:dyDescent="0.25">
      <c r="A605" s="64" t="s">
        <v>641</v>
      </c>
      <c r="B605" s="55" t="s">
        <v>501</v>
      </c>
      <c r="C605" s="16" t="s">
        <v>72</v>
      </c>
      <c r="D605" s="47">
        <f>27+15.6+8.8</f>
        <v>51.4</v>
      </c>
      <c r="E605" s="45">
        <f t="shared" si="362"/>
        <v>170.33</v>
      </c>
      <c r="F605" s="45"/>
      <c r="G605" s="45"/>
      <c r="H605" s="44">
        <v>8755</v>
      </c>
      <c r="I605" s="15"/>
      <c r="J605" s="15"/>
      <c r="K605" s="15"/>
      <c r="L605" s="15"/>
      <c r="M605" s="44"/>
      <c r="N605" s="44"/>
      <c r="O605" s="44">
        <f t="shared" si="363"/>
        <v>79846</v>
      </c>
      <c r="P605" s="19">
        <f t="shared" si="364"/>
        <v>3274</v>
      </c>
      <c r="Q605" s="19">
        <f t="shared" si="365"/>
        <v>83120</v>
      </c>
      <c r="R605" s="6">
        <f t="shared" si="366"/>
        <v>582</v>
      </c>
      <c r="S605" s="6"/>
      <c r="T605" s="6"/>
      <c r="U605" s="126">
        <f t="shared" si="367"/>
        <v>405</v>
      </c>
      <c r="V605" s="126">
        <f t="shared" si="368"/>
        <v>93</v>
      </c>
      <c r="W605" s="6"/>
      <c r="X605" s="6"/>
      <c r="Y605" s="6"/>
      <c r="Z605" s="6"/>
      <c r="AA605" s="19">
        <f t="shared" si="369"/>
        <v>84200</v>
      </c>
      <c r="AB605" s="19">
        <f t="shared" si="370"/>
        <v>90736</v>
      </c>
      <c r="AC605" s="15">
        <f t="shared" si="374"/>
        <v>1765.29</v>
      </c>
      <c r="AD605" s="15">
        <f t="shared" si="375"/>
        <v>90735.91</v>
      </c>
      <c r="AE605" s="25"/>
      <c r="AF605" s="157">
        <f t="shared" si="373"/>
        <v>-0.09</v>
      </c>
    </row>
    <row r="606" spans="1:32" s="4" customFormat="1" ht="25.5" x14ac:dyDescent="0.25">
      <c r="A606" s="64" t="s">
        <v>642</v>
      </c>
      <c r="B606" s="55" t="s">
        <v>503</v>
      </c>
      <c r="C606" s="16" t="s">
        <v>72</v>
      </c>
      <c r="D606" s="47">
        <v>6.2</v>
      </c>
      <c r="E606" s="45">
        <f t="shared" si="362"/>
        <v>231.13</v>
      </c>
      <c r="F606" s="45"/>
      <c r="G606" s="45"/>
      <c r="H606" s="44">
        <v>1433</v>
      </c>
      <c r="I606" s="15"/>
      <c r="J606" s="15"/>
      <c r="K606" s="15"/>
      <c r="L606" s="15"/>
      <c r="M606" s="44"/>
      <c r="N606" s="44"/>
      <c r="O606" s="44">
        <f t="shared" si="363"/>
        <v>13069</v>
      </c>
      <c r="P606" s="19">
        <f t="shared" si="364"/>
        <v>536</v>
      </c>
      <c r="Q606" s="19">
        <f t="shared" si="365"/>
        <v>13605</v>
      </c>
      <c r="R606" s="6">
        <f t="shared" si="366"/>
        <v>95</v>
      </c>
      <c r="S606" s="6"/>
      <c r="T606" s="6"/>
      <c r="U606" s="126">
        <f t="shared" si="367"/>
        <v>66</v>
      </c>
      <c r="V606" s="126">
        <f t="shared" si="368"/>
        <v>15</v>
      </c>
      <c r="W606" s="6"/>
      <c r="X606" s="6"/>
      <c r="Y606" s="6"/>
      <c r="Z606" s="6"/>
      <c r="AA606" s="19">
        <f t="shared" si="369"/>
        <v>13781</v>
      </c>
      <c r="AB606" s="19">
        <f t="shared" si="370"/>
        <v>14851</v>
      </c>
      <c r="AC606" s="15">
        <f t="shared" si="374"/>
        <v>2395.3200000000002</v>
      </c>
      <c r="AD606" s="15">
        <f t="shared" si="375"/>
        <v>14850.98</v>
      </c>
      <c r="AE606" s="25"/>
      <c r="AF606" s="157">
        <f t="shared" si="373"/>
        <v>-0.02</v>
      </c>
    </row>
    <row r="607" spans="1:32" s="4" customFormat="1" x14ac:dyDescent="0.25">
      <c r="A607" s="64" t="s">
        <v>643</v>
      </c>
      <c r="B607" s="55" t="s">
        <v>505</v>
      </c>
      <c r="C607" s="16" t="s">
        <v>70</v>
      </c>
      <c r="D607" s="47">
        <f>1.8+1.2</f>
        <v>3</v>
      </c>
      <c r="E607" s="45">
        <f t="shared" si="362"/>
        <v>1148.67</v>
      </c>
      <c r="F607" s="45"/>
      <c r="G607" s="45"/>
      <c r="H607" s="44">
        <v>3446</v>
      </c>
      <c r="I607" s="15"/>
      <c r="J607" s="15"/>
      <c r="K607" s="15"/>
      <c r="L607" s="15"/>
      <c r="M607" s="44"/>
      <c r="N607" s="44"/>
      <c r="O607" s="44">
        <f t="shared" si="363"/>
        <v>31428</v>
      </c>
      <c r="P607" s="19">
        <f t="shared" si="364"/>
        <v>1289</v>
      </c>
      <c r="Q607" s="19">
        <f t="shared" si="365"/>
        <v>32717</v>
      </c>
      <c r="R607" s="6">
        <f t="shared" si="366"/>
        <v>229</v>
      </c>
      <c r="S607" s="6"/>
      <c r="T607" s="6"/>
      <c r="U607" s="126">
        <f t="shared" si="367"/>
        <v>160</v>
      </c>
      <c r="V607" s="126">
        <f t="shared" si="368"/>
        <v>37</v>
      </c>
      <c r="W607" s="6"/>
      <c r="X607" s="6"/>
      <c r="Y607" s="6"/>
      <c r="Z607" s="6"/>
      <c r="AA607" s="19">
        <f t="shared" si="369"/>
        <v>33143</v>
      </c>
      <c r="AB607" s="19">
        <f t="shared" si="370"/>
        <v>35716</v>
      </c>
      <c r="AC607" s="15">
        <f t="shared" si="374"/>
        <v>11905.33</v>
      </c>
      <c r="AD607" s="15">
        <f t="shared" si="375"/>
        <v>35715.99</v>
      </c>
      <c r="AE607" s="25"/>
      <c r="AF607" s="157">
        <f t="shared" si="373"/>
        <v>-0.01</v>
      </c>
    </row>
    <row r="608" spans="1:32" s="4" customFormat="1" x14ac:dyDescent="0.25">
      <c r="A608" s="64" t="s">
        <v>644</v>
      </c>
      <c r="B608" s="55" t="s">
        <v>507</v>
      </c>
      <c r="C608" s="16" t="s">
        <v>72</v>
      </c>
      <c r="D608" s="47">
        <v>32</v>
      </c>
      <c r="E608" s="45">
        <f t="shared" si="362"/>
        <v>184.59</v>
      </c>
      <c r="F608" s="45"/>
      <c r="G608" s="45"/>
      <c r="H608" s="44">
        <v>5907</v>
      </c>
      <c r="I608" s="15"/>
      <c r="J608" s="15"/>
      <c r="K608" s="15"/>
      <c r="L608" s="15"/>
      <c r="M608" s="44"/>
      <c r="N608" s="44"/>
      <c r="O608" s="44">
        <f t="shared" si="363"/>
        <v>53872</v>
      </c>
      <c r="P608" s="19">
        <f t="shared" si="364"/>
        <v>2209</v>
      </c>
      <c r="Q608" s="19">
        <f t="shared" si="365"/>
        <v>56081</v>
      </c>
      <c r="R608" s="6">
        <f t="shared" si="366"/>
        <v>393</v>
      </c>
      <c r="S608" s="6"/>
      <c r="T608" s="6"/>
      <c r="U608" s="126">
        <f t="shared" si="367"/>
        <v>274</v>
      </c>
      <c r="V608" s="126">
        <f t="shared" si="368"/>
        <v>63</v>
      </c>
      <c r="W608" s="6"/>
      <c r="X608" s="6"/>
      <c r="Y608" s="6"/>
      <c r="Z608" s="6"/>
      <c r="AA608" s="19">
        <f t="shared" si="369"/>
        <v>56811</v>
      </c>
      <c r="AB608" s="19">
        <f t="shared" si="370"/>
        <v>61221</v>
      </c>
      <c r="AC608" s="15">
        <f t="shared" si="374"/>
        <v>1913.16</v>
      </c>
      <c r="AD608" s="15">
        <f t="shared" si="375"/>
        <v>61221.120000000003</v>
      </c>
      <c r="AE608" s="25"/>
      <c r="AF608" s="157">
        <f t="shared" si="373"/>
        <v>0.12</v>
      </c>
    </row>
    <row r="609" spans="1:32" s="4" customFormat="1" x14ac:dyDescent="0.25">
      <c r="A609" s="64" t="s">
        <v>645</v>
      </c>
      <c r="B609" s="55" t="s">
        <v>509</v>
      </c>
      <c r="C609" s="16" t="s">
        <v>70</v>
      </c>
      <c r="D609" s="47">
        <v>4.2</v>
      </c>
      <c r="E609" s="45">
        <f t="shared" si="362"/>
        <v>290</v>
      </c>
      <c r="F609" s="45"/>
      <c r="G609" s="45"/>
      <c r="H609" s="44">
        <v>1218</v>
      </c>
      <c r="I609" s="15"/>
      <c r="J609" s="15"/>
      <c r="K609" s="15"/>
      <c r="L609" s="15"/>
      <c r="M609" s="44"/>
      <c r="N609" s="44"/>
      <c r="O609" s="44">
        <f t="shared" si="363"/>
        <v>11108</v>
      </c>
      <c r="P609" s="19">
        <f t="shared" si="364"/>
        <v>455</v>
      </c>
      <c r="Q609" s="19">
        <f t="shared" si="365"/>
        <v>11563</v>
      </c>
      <c r="R609" s="6">
        <f t="shared" si="366"/>
        <v>81</v>
      </c>
      <c r="S609" s="6"/>
      <c r="T609" s="6"/>
      <c r="U609" s="126">
        <f t="shared" si="367"/>
        <v>56</v>
      </c>
      <c r="V609" s="126">
        <f t="shared" si="368"/>
        <v>13</v>
      </c>
      <c r="W609" s="6"/>
      <c r="X609" s="6"/>
      <c r="Y609" s="6"/>
      <c r="Z609" s="6"/>
      <c r="AA609" s="19">
        <f t="shared" si="369"/>
        <v>11713</v>
      </c>
      <c r="AB609" s="19">
        <f t="shared" si="370"/>
        <v>12622</v>
      </c>
      <c r="AC609" s="15">
        <f t="shared" si="374"/>
        <v>3005.24</v>
      </c>
      <c r="AD609" s="15">
        <f t="shared" si="375"/>
        <v>12622.01</v>
      </c>
      <c r="AE609" s="25"/>
      <c r="AF609" s="157">
        <f t="shared" si="373"/>
        <v>0.01</v>
      </c>
    </row>
    <row r="610" spans="1:32" s="43" customFormat="1" ht="25.5" x14ac:dyDescent="0.25">
      <c r="A610" s="23" t="s">
        <v>646</v>
      </c>
      <c r="B610" s="17" t="s">
        <v>511</v>
      </c>
      <c r="C610" s="24" t="s">
        <v>67</v>
      </c>
      <c r="D610" s="13"/>
      <c r="E610" s="45"/>
      <c r="F610" s="45"/>
      <c r="G610" s="45"/>
      <c r="H610" s="44"/>
      <c r="I610" s="15"/>
      <c r="J610" s="15"/>
      <c r="K610" s="15"/>
      <c r="L610" s="15"/>
      <c r="M610" s="44"/>
      <c r="N610" s="44"/>
      <c r="O610" s="44"/>
      <c r="P610" s="19"/>
      <c r="Q610" s="19"/>
      <c r="R610" s="6"/>
      <c r="S610" s="6"/>
      <c r="T610" s="6"/>
      <c r="U610" s="126"/>
      <c r="V610" s="126"/>
      <c r="W610" s="6"/>
      <c r="X610" s="6"/>
      <c r="Y610" s="6"/>
      <c r="Z610" s="6"/>
      <c r="AA610" s="19"/>
      <c r="AB610" s="19"/>
      <c r="AC610" s="15"/>
      <c r="AD610" s="15"/>
      <c r="AE610" s="25"/>
      <c r="AF610" s="157">
        <f t="shared" si="373"/>
        <v>0</v>
      </c>
    </row>
    <row r="611" spans="1:32" s="4" customFormat="1" x14ac:dyDescent="0.25">
      <c r="A611" s="64" t="s">
        <v>647</v>
      </c>
      <c r="B611" s="55" t="s">
        <v>422</v>
      </c>
      <c r="C611" s="16" t="s">
        <v>70</v>
      </c>
      <c r="D611" s="47">
        <f>723+72.3</f>
        <v>795.3</v>
      </c>
      <c r="E611" s="45">
        <f t="shared" si="362"/>
        <v>110.05</v>
      </c>
      <c r="F611" s="45"/>
      <c r="G611" s="45"/>
      <c r="H611" s="44">
        <v>87522</v>
      </c>
      <c r="I611" s="15"/>
      <c r="J611" s="15"/>
      <c r="K611" s="15"/>
      <c r="L611" s="15"/>
      <c r="M611" s="44"/>
      <c r="N611" s="44"/>
      <c r="O611" s="44">
        <f t="shared" si="363"/>
        <v>798201</v>
      </c>
      <c r="P611" s="19">
        <f t="shared" si="364"/>
        <v>32726</v>
      </c>
      <c r="Q611" s="19">
        <f t="shared" si="365"/>
        <v>830927</v>
      </c>
      <c r="R611" s="6">
        <f t="shared" si="366"/>
        <v>5816</v>
      </c>
      <c r="S611" s="6"/>
      <c r="T611" s="6"/>
      <c r="U611" s="126">
        <f t="shared" si="367"/>
        <v>4053</v>
      </c>
      <c r="V611" s="126">
        <f t="shared" si="368"/>
        <v>930</v>
      </c>
      <c r="W611" s="6"/>
      <c r="X611" s="6"/>
      <c r="Y611" s="6"/>
      <c r="Z611" s="6"/>
      <c r="AA611" s="19">
        <f t="shared" si="369"/>
        <v>841726</v>
      </c>
      <c r="AB611" s="19">
        <f t="shared" si="370"/>
        <v>907061</v>
      </c>
      <c r="AC611" s="15">
        <f t="shared" ref="AC611:AC618" si="376">AB611/D611</f>
        <v>1140.53</v>
      </c>
      <c r="AD611" s="15">
        <f t="shared" ref="AD611:AD618" si="377">AC611*D611</f>
        <v>907063.51</v>
      </c>
      <c r="AE611" s="25"/>
      <c r="AF611" s="157">
        <f t="shared" si="373"/>
        <v>2.5099999999999998</v>
      </c>
    </row>
    <row r="612" spans="1:32" s="4" customFormat="1" x14ac:dyDescent="0.25">
      <c r="A612" s="64" t="s">
        <v>648</v>
      </c>
      <c r="B612" s="55" t="s">
        <v>496</v>
      </c>
      <c r="C612" s="16" t="s">
        <v>468</v>
      </c>
      <c r="D612" s="47">
        <v>64.5</v>
      </c>
      <c r="E612" s="45">
        <f t="shared" si="362"/>
        <v>11590.23</v>
      </c>
      <c r="F612" s="45"/>
      <c r="G612" s="45"/>
      <c r="H612" s="44">
        <v>747570</v>
      </c>
      <c r="I612" s="15"/>
      <c r="J612" s="15"/>
      <c r="K612" s="15"/>
      <c r="L612" s="15"/>
      <c r="M612" s="44"/>
      <c r="N612" s="44"/>
      <c r="O612" s="44">
        <f t="shared" si="363"/>
        <v>6817838</v>
      </c>
      <c r="P612" s="19">
        <f t="shared" si="364"/>
        <v>279531</v>
      </c>
      <c r="Q612" s="19">
        <f t="shared" si="365"/>
        <v>7097369</v>
      </c>
      <c r="R612" s="6">
        <f t="shared" si="366"/>
        <v>49682</v>
      </c>
      <c r="S612" s="6"/>
      <c r="T612" s="6"/>
      <c r="U612" s="126">
        <f t="shared" si="367"/>
        <v>34617</v>
      </c>
      <c r="V612" s="126">
        <f t="shared" si="368"/>
        <v>7945</v>
      </c>
      <c r="W612" s="6"/>
      <c r="X612" s="6"/>
      <c r="Y612" s="6"/>
      <c r="Z612" s="6"/>
      <c r="AA612" s="19">
        <f t="shared" si="369"/>
        <v>7189613</v>
      </c>
      <c r="AB612" s="19">
        <f t="shared" si="370"/>
        <v>7747671</v>
      </c>
      <c r="AC612" s="15">
        <f t="shared" si="376"/>
        <v>120118.93</v>
      </c>
      <c r="AD612" s="15">
        <f t="shared" si="377"/>
        <v>7747670.9900000002</v>
      </c>
      <c r="AE612" s="25"/>
      <c r="AF612" s="157">
        <f t="shared" si="373"/>
        <v>-0.01</v>
      </c>
    </row>
    <row r="613" spans="1:32" s="4" customFormat="1" x14ac:dyDescent="0.25">
      <c r="A613" s="64" t="s">
        <v>649</v>
      </c>
      <c r="B613" s="55" t="s">
        <v>132</v>
      </c>
      <c r="C613" s="16" t="s">
        <v>70</v>
      </c>
      <c r="D613" s="47">
        <v>3.2</v>
      </c>
      <c r="E613" s="45">
        <f t="shared" si="362"/>
        <v>5445.63</v>
      </c>
      <c r="F613" s="45"/>
      <c r="G613" s="45"/>
      <c r="H613" s="44">
        <v>17426</v>
      </c>
      <c r="I613" s="15"/>
      <c r="J613" s="15"/>
      <c r="K613" s="15"/>
      <c r="L613" s="15"/>
      <c r="M613" s="44"/>
      <c r="N613" s="44"/>
      <c r="O613" s="44">
        <f t="shared" si="363"/>
        <v>158925</v>
      </c>
      <c r="P613" s="19">
        <f t="shared" si="364"/>
        <v>6516</v>
      </c>
      <c r="Q613" s="19">
        <f t="shared" si="365"/>
        <v>165441</v>
      </c>
      <c r="R613" s="6">
        <f t="shared" si="366"/>
        <v>1158</v>
      </c>
      <c r="S613" s="6"/>
      <c r="T613" s="6"/>
      <c r="U613" s="126">
        <f t="shared" si="367"/>
        <v>807</v>
      </c>
      <c r="V613" s="126">
        <f t="shared" si="368"/>
        <v>185</v>
      </c>
      <c r="W613" s="6"/>
      <c r="X613" s="6"/>
      <c r="Y613" s="6"/>
      <c r="Z613" s="6"/>
      <c r="AA613" s="19">
        <f t="shared" si="369"/>
        <v>167591</v>
      </c>
      <c r="AB613" s="19">
        <f t="shared" si="370"/>
        <v>180599</v>
      </c>
      <c r="AC613" s="15">
        <f t="shared" si="376"/>
        <v>56437.19</v>
      </c>
      <c r="AD613" s="15">
        <f t="shared" si="377"/>
        <v>180599.01</v>
      </c>
      <c r="AE613" s="25"/>
      <c r="AF613" s="157">
        <f t="shared" si="373"/>
        <v>0.01</v>
      </c>
    </row>
    <row r="614" spans="1:32" s="4" customFormat="1" ht="25.5" x14ac:dyDescent="0.25">
      <c r="A614" s="64" t="s">
        <v>650</v>
      </c>
      <c r="B614" s="55" t="s">
        <v>501</v>
      </c>
      <c r="C614" s="16" t="s">
        <v>72</v>
      </c>
      <c r="D614" s="47">
        <f>45+31.8+17.4</f>
        <v>94.2</v>
      </c>
      <c r="E614" s="45">
        <f t="shared" si="362"/>
        <v>171.7</v>
      </c>
      <c r="F614" s="45"/>
      <c r="G614" s="45"/>
      <c r="H614" s="44">
        <v>16174</v>
      </c>
      <c r="I614" s="15"/>
      <c r="J614" s="15"/>
      <c r="K614" s="15"/>
      <c r="L614" s="15"/>
      <c r="M614" s="44"/>
      <c r="N614" s="44"/>
      <c r="O614" s="44">
        <f t="shared" si="363"/>
        <v>147507</v>
      </c>
      <c r="P614" s="19">
        <f t="shared" si="364"/>
        <v>6048</v>
      </c>
      <c r="Q614" s="19">
        <f t="shared" si="365"/>
        <v>153555</v>
      </c>
      <c r="R614" s="6">
        <f t="shared" si="366"/>
        <v>1075</v>
      </c>
      <c r="S614" s="6"/>
      <c r="T614" s="6"/>
      <c r="U614" s="126">
        <f t="shared" si="367"/>
        <v>749</v>
      </c>
      <c r="V614" s="126">
        <f t="shared" si="368"/>
        <v>172</v>
      </c>
      <c r="W614" s="6"/>
      <c r="X614" s="6"/>
      <c r="Y614" s="6"/>
      <c r="Z614" s="6"/>
      <c r="AA614" s="19">
        <f t="shared" si="369"/>
        <v>155551</v>
      </c>
      <c r="AB614" s="19">
        <f t="shared" si="370"/>
        <v>167625</v>
      </c>
      <c r="AC614" s="15">
        <f t="shared" si="376"/>
        <v>1779.46</v>
      </c>
      <c r="AD614" s="15">
        <f t="shared" si="377"/>
        <v>167625.13</v>
      </c>
      <c r="AE614" s="25"/>
      <c r="AF614" s="157">
        <f t="shared" si="373"/>
        <v>0.13</v>
      </c>
    </row>
    <row r="615" spans="1:32" s="4" customFormat="1" ht="25.5" x14ac:dyDescent="0.25">
      <c r="A615" s="64" t="s">
        <v>651</v>
      </c>
      <c r="B615" s="55" t="s">
        <v>503</v>
      </c>
      <c r="C615" s="16" t="s">
        <v>72</v>
      </c>
      <c r="D615" s="47">
        <v>47.1</v>
      </c>
      <c r="E615" s="45">
        <f t="shared" si="362"/>
        <v>179.02</v>
      </c>
      <c r="F615" s="45"/>
      <c r="G615" s="45"/>
      <c r="H615" s="44">
        <v>8432</v>
      </c>
      <c r="I615" s="15"/>
      <c r="J615" s="15"/>
      <c r="K615" s="15"/>
      <c r="L615" s="15"/>
      <c r="M615" s="44"/>
      <c r="N615" s="44"/>
      <c r="O615" s="44">
        <f t="shared" si="363"/>
        <v>76900</v>
      </c>
      <c r="P615" s="19">
        <f t="shared" si="364"/>
        <v>3153</v>
      </c>
      <c r="Q615" s="19">
        <f t="shared" si="365"/>
        <v>80053</v>
      </c>
      <c r="R615" s="6">
        <f t="shared" si="366"/>
        <v>560</v>
      </c>
      <c r="S615" s="6"/>
      <c r="T615" s="6"/>
      <c r="U615" s="126">
        <f t="shared" si="367"/>
        <v>390</v>
      </c>
      <c r="V615" s="126">
        <f t="shared" si="368"/>
        <v>90</v>
      </c>
      <c r="W615" s="6"/>
      <c r="X615" s="6"/>
      <c r="Y615" s="6"/>
      <c r="Z615" s="6"/>
      <c r="AA615" s="19">
        <f t="shared" si="369"/>
        <v>81093</v>
      </c>
      <c r="AB615" s="19">
        <f t="shared" si="370"/>
        <v>87387</v>
      </c>
      <c r="AC615" s="15">
        <f t="shared" si="376"/>
        <v>1855.35</v>
      </c>
      <c r="AD615" s="15">
        <f t="shared" si="377"/>
        <v>87386.99</v>
      </c>
      <c r="AE615" s="25"/>
      <c r="AF615" s="157">
        <f t="shared" si="373"/>
        <v>-0.01</v>
      </c>
    </row>
    <row r="616" spans="1:32" s="4" customFormat="1" x14ac:dyDescent="0.25">
      <c r="A616" s="64" t="s">
        <v>652</v>
      </c>
      <c r="B616" s="55" t="s">
        <v>505</v>
      </c>
      <c r="C616" s="16" t="s">
        <v>70</v>
      </c>
      <c r="D616" s="47">
        <f>0.6+0.3</f>
        <v>0.9</v>
      </c>
      <c r="E616" s="45">
        <f t="shared" si="362"/>
        <v>1154.44</v>
      </c>
      <c r="F616" s="45"/>
      <c r="G616" s="45"/>
      <c r="H616" s="44">
        <v>1039</v>
      </c>
      <c r="I616" s="15"/>
      <c r="J616" s="15"/>
      <c r="K616" s="15"/>
      <c r="L616" s="15"/>
      <c r="M616" s="44"/>
      <c r="N616" s="44"/>
      <c r="O616" s="44">
        <f t="shared" si="363"/>
        <v>9476</v>
      </c>
      <c r="P616" s="19">
        <f t="shared" si="364"/>
        <v>389</v>
      </c>
      <c r="Q616" s="19">
        <f t="shared" si="365"/>
        <v>9865</v>
      </c>
      <c r="R616" s="6">
        <f t="shared" si="366"/>
        <v>69</v>
      </c>
      <c r="S616" s="6"/>
      <c r="T616" s="6"/>
      <c r="U616" s="126">
        <f t="shared" si="367"/>
        <v>48</v>
      </c>
      <c r="V616" s="126">
        <f t="shared" si="368"/>
        <v>11</v>
      </c>
      <c r="W616" s="6"/>
      <c r="X616" s="6"/>
      <c r="Y616" s="6"/>
      <c r="Z616" s="6"/>
      <c r="AA616" s="19">
        <f t="shared" si="369"/>
        <v>9993</v>
      </c>
      <c r="AB616" s="19">
        <f t="shared" si="370"/>
        <v>10769</v>
      </c>
      <c r="AC616" s="15">
        <f t="shared" si="376"/>
        <v>11965.56</v>
      </c>
      <c r="AD616" s="15">
        <f t="shared" si="377"/>
        <v>10769</v>
      </c>
      <c r="AE616" s="25"/>
      <c r="AF616" s="157">
        <f t="shared" si="373"/>
        <v>0</v>
      </c>
    </row>
    <row r="617" spans="1:32" s="4" customFormat="1" x14ac:dyDescent="0.25">
      <c r="A617" s="64" t="s">
        <v>653</v>
      </c>
      <c r="B617" s="55" t="s">
        <v>507</v>
      </c>
      <c r="C617" s="16" t="s">
        <v>72</v>
      </c>
      <c r="D617" s="47">
        <v>73.8</v>
      </c>
      <c r="E617" s="45">
        <f t="shared" si="362"/>
        <v>180.57</v>
      </c>
      <c r="F617" s="45"/>
      <c r="G617" s="45"/>
      <c r="H617" s="44">
        <v>13326</v>
      </c>
      <c r="I617" s="15"/>
      <c r="J617" s="15"/>
      <c r="K617" s="15"/>
      <c r="L617" s="15"/>
      <c r="M617" s="44"/>
      <c r="N617" s="44"/>
      <c r="O617" s="44">
        <f t="shared" si="363"/>
        <v>121533</v>
      </c>
      <c r="P617" s="19">
        <f t="shared" si="364"/>
        <v>4983</v>
      </c>
      <c r="Q617" s="19">
        <f t="shared" si="365"/>
        <v>126516</v>
      </c>
      <c r="R617" s="6">
        <f t="shared" si="366"/>
        <v>886</v>
      </c>
      <c r="S617" s="6"/>
      <c r="T617" s="6"/>
      <c r="U617" s="126">
        <f t="shared" si="367"/>
        <v>617</v>
      </c>
      <c r="V617" s="126">
        <f t="shared" si="368"/>
        <v>142</v>
      </c>
      <c r="W617" s="6"/>
      <c r="X617" s="6"/>
      <c r="Y617" s="6"/>
      <c r="Z617" s="6"/>
      <c r="AA617" s="19">
        <f t="shared" si="369"/>
        <v>128161</v>
      </c>
      <c r="AB617" s="19">
        <f t="shared" si="370"/>
        <v>138109</v>
      </c>
      <c r="AC617" s="15">
        <f t="shared" si="376"/>
        <v>1871.4</v>
      </c>
      <c r="AD617" s="15">
        <f t="shared" si="377"/>
        <v>138109.32</v>
      </c>
      <c r="AE617" s="25"/>
      <c r="AF617" s="157">
        <f t="shared" si="373"/>
        <v>0.32</v>
      </c>
    </row>
    <row r="618" spans="1:32" s="4" customFormat="1" x14ac:dyDescent="0.25">
      <c r="A618" s="64" t="s">
        <v>654</v>
      </c>
      <c r="B618" s="55" t="s">
        <v>509</v>
      </c>
      <c r="C618" s="16" t="s">
        <v>70</v>
      </c>
      <c r="D618" s="47">
        <v>11.1</v>
      </c>
      <c r="E618" s="45">
        <f t="shared" si="362"/>
        <v>290</v>
      </c>
      <c r="F618" s="45"/>
      <c r="G618" s="45"/>
      <c r="H618" s="44">
        <v>3219</v>
      </c>
      <c r="I618" s="15"/>
      <c r="J618" s="15"/>
      <c r="K618" s="15"/>
      <c r="L618" s="15"/>
      <c r="M618" s="44"/>
      <c r="N618" s="44"/>
      <c r="O618" s="44">
        <f t="shared" si="363"/>
        <v>29357</v>
      </c>
      <c r="P618" s="19">
        <f t="shared" si="364"/>
        <v>1204</v>
      </c>
      <c r="Q618" s="19">
        <f t="shared" si="365"/>
        <v>30561</v>
      </c>
      <c r="R618" s="6">
        <f t="shared" si="366"/>
        <v>214</v>
      </c>
      <c r="S618" s="6"/>
      <c r="T618" s="6"/>
      <c r="U618" s="126">
        <f t="shared" si="367"/>
        <v>149</v>
      </c>
      <c r="V618" s="126">
        <f t="shared" si="368"/>
        <v>34</v>
      </c>
      <c r="W618" s="6"/>
      <c r="X618" s="6"/>
      <c r="Y618" s="6"/>
      <c r="Z618" s="6"/>
      <c r="AA618" s="19">
        <f t="shared" si="369"/>
        <v>30958</v>
      </c>
      <c r="AB618" s="19">
        <f t="shared" si="370"/>
        <v>33361</v>
      </c>
      <c r="AC618" s="15">
        <f t="shared" si="376"/>
        <v>3005.5</v>
      </c>
      <c r="AD618" s="15">
        <f t="shared" si="377"/>
        <v>33361.050000000003</v>
      </c>
      <c r="AE618" s="25"/>
      <c r="AF618" s="157">
        <f t="shared" si="373"/>
        <v>0.05</v>
      </c>
    </row>
    <row r="619" spans="1:32" s="43" customFormat="1" ht="25.5" x14ac:dyDescent="0.25">
      <c r="A619" s="23" t="s">
        <v>655</v>
      </c>
      <c r="B619" s="17" t="s">
        <v>1500</v>
      </c>
      <c r="C619" s="24" t="s">
        <v>67</v>
      </c>
      <c r="D619" s="13"/>
      <c r="E619" s="45"/>
      <c r="F619" s="45"/>
      <c r="G619" s="45"/>
      <c r="H619" s="44"/>
      <c r="I619" s="15"/>
      <c r="J619" s="15"/>
      <c r="K619" s="15"/>
      <c r="L619" s="15"/>
      <c r="M619" s="44"/>
      <c r="N619" s="44"/>
      <c r="O619" s="44"/>
      <c r="P619" s="19"/>
      <c r="Q619" s="19"/>
      <c r="R619" s="6"/>
      <c r="S619" s="6"/>
      <c r="T619" s="6"/>
      <c r="U619" s="126"/>
      <c r="V619" s="126"/>
      <c r="W619" s="6"/>
      <c r="X619" s="6"/>
      <c r="Y619" s="6"/>
      <c r="Z619" s="6"/>
      <c r="AA619" s="19"/>
      <c r="AB619" s="19"/>
      <c r="AC619" s="15"/>
      <c r="AD619" s="15"/>
      <c r="AE619" s="25"/>
      <c r="AF619" s="157">
        <f t="shared" si="373"/>
        <v>0</v>
      </c>
    </row>
    <row r="620" spans="1:32" s="4" customFormat="1" x14ac:dyDescent="0.25">
      <c r="A620" s="64" t="s">
        <v>657</v>
      </c>
      <c r="B620" s="55" t="s">
        <v>422</v>
      </c>
      <c r="C620" s="16" t="s">
        <v>70</v>
      </c>
      <c r="D620" s="47">
        <f>409+40.9+675</f>
        <v>1124.9000000000001</v>
      </c>
      <c r="E620" s="45">
        <f t="shared" si="362"/>
        <v>46.65</v>
      </c>
      <c r="F620" s="45"/>
      <c r="G620" s="45"/>
      <c r="H620" s="44">
        <v>52477</v>
      </c>
      <c r="I620" s="15"/>
      <c r="J620" s="15"/>
      <c r="K620" s="15"/>
      <c r="L620" s="15"/>
      <c r="M620" s="44"/>
      <c r="N620" s="44"/>
      <c r="O620" s="44">
        <f t="shared" si="363"/>
        <v>478590</v>
      </c>
      <c r="P620" s="19">
        <f t="shared" si="364"/>
        <v>19622</v>
      </c>
      <c r="Q620" s="19">
        <f t="shared" si="365"/>
        <v>498212</v>
      </c>
      <c r="R620" s="6">
        <f t="shared" si="366"/>
        <v>3487</v>
      </c>
      <c r="S620" s="6"/>
      <c r="T620" s="6"/>
      <c r="U620" s="126">
        <f t="shared" si="367"/>
        <v>2430</v>
      </c>
      <c r="V620" s="126">
        <f t="shared" si="368"/>
        <v>558</v>
      </c>
      <c r="W620" s="6"/>
      <c r="X620" s="6"/>
      <c r="Y620" s="6"/>
      <c r="Z620" s="6"/>
      <c r="AA620" s="19">
        <f t="shared" si="369"/>
        <v>504687</v>
      </c>
      <c r="AB620" s="19">
        <f t="shared" si="370"/>
        <v>543861</v>
      </c>
      <c r="AC620" s="15">
        <f t="shared" ref="AC620:AC628" si="378">AB620/D620</f>
        <v>483.47</v>
      </c>
      <c r="AD620" s="15">
        <f t="shared" ref="AD620:AD628" si="379">AC620*D620</f>
        <v>543855.4</v>
      </c>
      <c r="AE620" s="25"/>
      <c r="AF620" s="157">
        <f t="shared" si="373"/>
        <v>-5.6</v>
      </c>
    </row>
    <row r="621" spans="1:32" s="4" customFormat="1" x14ac:dyDescent="0.25">
      <c r="A621" s="64" t="s">
        <v>658</v>
      </c>
      <c r="B621" s="55" t="s">
        <v>496</v>
      </c>
      <c r="C621" s="16" t="s">
        <v>468</v>
      </c>
      <c r="D621" s="180">
        <f>116/3</f>
        <v>38.667000000000002</v>
      </c>
      <c r="E621" s="45">
        <f t="shared" si="362"/>
        <v>33623.660000000003</v>
      </c>
      <c r="F621" s="45"/>
      <c r="G621" s="45"/>
      <c r="H621" s="44">
        <v>1300126</v>
      </c>
      <c r="I621" s="15"/>
      <c r="J621" s="15"/>
      <c r="K621" s="15"/>
      <c r="L621" s="15"/>
      <c r="M621" s="44"/>
      <c r="N621" s="44"/>
      <c r="O621" s="44">
        <f t="shared" si="363"/>
        <v>11857149</v>
      </c>
      <c r="P621" s="19">
        <f t="shared" si="364"/>
        <v>486143</v>
      </c>
      <c r="Q621" s="19">
        <f t="shared" si="365"/>
        <v>12343292</v>
      </c>
      <c r="R621" s="6">
        <f t="shared" si="366"/>
        <v>86403</v>
      </c>
      <c r="S621" s="6"/>
      <c r="T621" s="6"/>
      <c r="U621" s="126">
        <f t="shared" si="367"/>
        <v>60204</v>
      </c>
      <c r="V621" s="126">
        <f t="shared" si="368"/>
        <v>13818</v>
      </c>
      <c r="W621" s="6"/>
      <c r="X621" s="6"/>
      <c r="Y621" s="6"/>
      <c r="Z621" s="6"/>
      <c r="AA621" s="19">
        <f t="shared" si="369"/>
        <v>12503717</v>
      </c>
      <c r="AB621" s="19">
        <f t="shared" si="370"/>
        <v>13474256</v>
      </c>
      <c r="AC621" s="15">
        <f t="shared" si="378"/>
        <v>348469.13</v>
      </c>
      <c r="AD621" s="15">
        <f t="shared" si="379"/>
        <v>13474255.85</v>
      </c>
      <c r="AE621" s="25"/>
      <c r="AF621" s="157">
        <f t="shared" si="373"/>
        <v>-0.15</v>
      </c>
    </row>
    <row r="622" spans="1:32" s="4" customFormat="1" x14ac:dyDescent="0.25">
      <c r="A622" s="64" t="s">
        <v>659</v>
      </c>
      <c r="B622" s="55" t="s">
        <v>660</v>
      </c>
      <c r="C622" s="16" t="s">
        <v>72</v>
      </c>
      <c r="D622" s="47">
        <v>550</v>
      </c>
      <c r="E622" s="45">
        <f t="shared" si="362"/>
        <v>123.5</v>
      </c>
      <c r="F622" s="45"/>
      <c r="G622" s="45"/>
      <c r="H622" s="44">
        <v>67923</v>
      </c>
      <c r="I622" s="15"/>
      <c r="J622" s="15"/>
      <c r="K622" s="15"/>
      <c r="L622" s="15"/>
      <c r="M622" s="44"/>
      <c r="N622" s="44"/>
      <c r="O622" s="44">
        <f t="shared" si="363"/>
        <v>619458</v>
      </c>
      <c r="P622" s="19">
        <f t="shared" si="364"/>
        <v>25398</v>
      </c>
      <c r="Q622" s="19">
        <f t="shared" si="365"/>
        <v>644856</v>
      </c>
      <c r="R622" s="6">
        <f t="shared" si="366"/>
        <v>4514</v>
      </c>
      <c r="S622" s="6"/>
      <c r="T622" s="6"/>
      <c r="U622" s="126">
        <f t="shared" si="367"/>
        <v>3145</v>
      </c>
      <c r="V622" s="126">
        <f t="shared" si="368"/>
        <v>722</v>
      </c>
      <c r="W622" s="6"/>
      <c r="X622" s="6"/>
      <c r="Y622" s="6"/>
      <c r="Z622" s="6"/>
      <c r="AA622" s="19">
        <f t="shared" si="369"/>
        <v>653237</v>
      </c>
      <c r="AB622" s="19">
        <f t="shared" si="370"/>
        <v>703941</v>
      </c>
      <c r="AC622" s="15">
        <f t="shared" si="378"/>
        <v>1279.8900000000001</v>
      </c>
      <c r="AD622" s="15">
        <f t="shared" si="379"/>
        <v>703939.5</v>
      </c>
      <c r="AE622" s="25"/>
      <c r="AF622" s="157">
        <f t="shared" si="373"/>
        <v>-1.5</v>
      </c>
    </row>
    <row r="623" spans="1:32" s="4" customFormat="1" x14ac:dyDescent="0.25">
      <c r="A623" s="64" t="s">
        <v>661</v>
      </c>
      <c r="B623" s="55" t="s">
        <v>132</v>
      </c>
      <c r="C623" s="16" t="s">
        <v>70</v>
      </c>
      <c r="D623" s="47">
        <v>8.3000000000000007</v>
      </c>
      <c r="E623" s="45">
        <f t="shared" si="362"/>
        <v>5445.54</v>
      </c>
      <c r="F623" s="45"/>
      <c r="G623" s="45"/>
      <c r="H623" s="44">
        <v>45198</v>
      </c>
      <c r="I623" s="15"/>
      <c r="J623" s="15"/>
      <c r="K623" s="15"/>
      <c r="L623" s="15"/>
      <c r="M623" s="44"/>
      <c r="N623" s="44"/>
      <c r="O623" s="44">
        <f t="shared" si="363"/>
        <v>412206</v>
      </c>
      <c r="P623" s="19">
        <f t="shared" si="364"/>
        <v>16900</v>
      </c>
      <c r="Q623" s="19">
        <f t="shared" si="365"/>
        <v>429106</v>
      </c>
      <c r="R623" s="6">
        <f t="shared" si="366"/>
        <v>3004</v>
      </c>
      <c r="S623" s="6"/>
      <c r="T623" s="6"/>
      <c r="U623" s="126">
        <f t="shared" si="367"/>
        <v>2093</v>
      </c>
      <c r="V623" s="126">
        <f t="shared" si="368"/>
        <v>480</v>
      </c>
      <c r="W623" s="6"/>
      <c r="X623" s="6"/>
      <c r="Y623" s="6"/>
      <c r="Z623" s="6"/>
      <c r="AA623" s="19">
        <f t="shared" si="369"/>
        <v>434683</v>
      </c>
      <c r="AB623" s="19">
        <f t="shared" si="370"/>
        <v>468423</v>
      </c>
      <c r="AC623" s="15">
        <f t="shared" si="378"/>
        <v>56436.51</v>
      </c>
      <c r="AD623" s="15">
        <f t="shared" si="379"/>
        <v>468423.03</v>
      </c>
      <c r="AE623" s="25"/>
      <c r="AF623" s="157">
        <f t="shared" si="373"/>
        <v>0.03</v>
      </c>
    </row>
    <row r="624" spans="1:32" s="4" customFormat="1" ht="25.5" x14ac:dyDescent="0.25">
      <c r="A624" s="64" t="s">
        <v>662</v>
      </c>
      <c r="B624" s="55" t="s">
        <v>501</v>
      </c>
      <c r="C624" s="16" t="s">
        <v>72</v>
      </c>
      <c r="D624" s="47">
        <f>91+145+96</f>
        <v>332</v>
      </c>
      <c r="E624" s="45">
        <f t="shared" si="362"/>
        <v>157.35</v>
      </c>
      <c r="F624" s="45"/>
      <c r="G624" s="45"/>
      <c r="H624" s="44">
        <v>52240</v>
      </c>
      <c r="I624" s="15"/>
      <c r="J624" s="15"/>
      <c r="K624" s="15"/>
      <c r="L624" s="15"/>
      <c r="M624" s="44"/>
      <c r="N624" s="44"/>
      <c r="O624" s="44">
        <f t="shared" si="363"/>
        <v>476429</v>
      </c>
      <c r="P624" s="19">
        <f t="shared" si="364"/>
        <v>19534</v>
      </c>
      <c r="Q624" s="19">
        <f t="shared" si="365"/>
        <v>495963</v>
      </c>
      <c r="R624" s="6">
        <f t="shared" si="366"/>
        <v>3472</v>
      </c>
      <c r="S624" s="6"/>
      <c r="T624" s="6"/>
      <c r="U624" s="126">
        <f t="shared" si="367"/>
        <v>2419</v>
      </c>
      <c r="V624" s="126">
        <f t="shared" si="368"/>
        <v>555</v>
      </c>
      <c r="W624" s="6"/>
      <c r="X624" s="6"/>
      <c r="Y624" s="6"/>
      <c r="Z624" s="6"/>
      <c r="AA624" s="19">
        <f t="shared" si="369"/>
        <v>502409</v>
      </c>
      <c r="AB624" s="19">
        <f t="shared" si="370"/>
        <v>541406</v>
      </c>
      <c r="AC624" s="15">
        <f t="shared" si="378"/>
        <v>1630.74</v>
      </c>
      <c r="AD624" s="15">
        <f t="shared" si="379"/>
        <v>541405.68000000005</v>
      </c>
      <c r="AE624" s="25"/>
      <c r="AF624" s="157">
        <f t="shared" si="373"/>
        <v>-0.32</v>
      </c>
    </row>
    <row r="625" spans="1:32" s="4" customFormat="1" ht="25.5" x14ac:dyDescent="0.25">
      <c r="A625" s="64" t="s">
        <v>663</v>
      </c>
      <c r="B625" s="55" t="s">
        <v>503</v>
      </c>
      <c r="C625" s="16" t="s">
        <v>72</v>
      </c>
      <c r="D625" s="47">
        <v>142</v>
      </c>
      <c r="E625" s="45">
        <f t="shared" si="362"/>
        <v>182.15</v>
      </c>
      <c r="F625" s="45"/>
      <c r="G625" s="45"/>
      <c r="H625" s="44">
        <v>25866</v>
      </c>
      <c r="I625" s="15"/>
      <c r="J625" s="15"/>
      <c r="K625" s="15"/>
      <c r="L625" s="15"/>
      <c r="M625" s="44"/>
      <c r="N625" s="44"/>
      <c r="O625" s="44">
        <f t="shared" si="363"/>
        <v>235898</v>
      </c>
      <c r="P625" s="19">
        <f t="shared" si="364"/>
        <v>9672</v>
      </c>
      <c r="Q625" s="19">
        <f t="shared" si="365"/>
        <v>245570</v>
      </c>
      <c r="R625" s="6">
        <f t="shared" si="366"/>
        <v>1719</v>
      </c>
      <c r="S625" s="6"/>
      <c r="T625" s="6"/>
      <c r="U625" s="126">
        <f t="shared" si="367"/>
        <v>1198</v>
      </c>
      <c r="V625" s="126">
        <f t="shared" si="368"/>
        <v>275</v>
      </c>
      <c r="W625" s="6"/>
      <c r="X625" s="6"/>
      <c r="Y625" s="6"/>
      <c r="Z625" s="6"/>
      <c r="AA625" s="19">
        <f t="shared" si="369"/>
        <v>248762</v>
      </c>
      <c r="AB625" s="19">
        <f t="shared" si="370"/>
        <v>268071</v>
      </c>
      <c r="AC625" s="15">
        <f t="shared" si="378"/>
        <v>1887.82</v>
      </c>
      <c r="AD625" s="15">
        <f t="shared" si="379"/>
        <v>268070.44</v>
      </c>
      <c r="AE625" s="25"/>
      <c r="AF625" s="157">
        <f t="shared" si="373"/>
        <v>-0.56000000000000005</v>
      </c>
    </row>
    <row r="626" spans="1:32" s="4" customFormat="1" x14ac:dyDescent="0.25">
      <c r="A626" s="64" t="s">
        <v>664</v>
      </c>
      <c r="B626" s="55" t="s">
        <v>505</v>
      </c>
      <c r="C626" s="16" t="s">
        <v>70</v>
      </c>
      <c r="D626" s="47">
        <f>1.1+0.8</f>
        <v>1.9</v>
      </c>
      <c r="E626" s="45">
        <f t="shared" si="362"/>
        <v>1154.21</v>
      </c>
      <c r="F626" s="45"/>
      <c r="G626" s="45"/>
      <c r="H626" s="44">
        <v>2193</v>
      </c>
      <c r="I626" s="15"/>
      <c r="J626" s="15"/>
      <c r="K626" s="15"/>
      <c r="L626" s="15"/>
      <c r="M626" s="44"/>
      <c r="N626" s="44"/>
      <c r="O626" s="44">
        <f t="shared" si="363"/>
        <v>20000</v>
      </c>
      <c r="P626" s="19">
        <f t="shared" si="364"/>
        <v>820</v>
      </c>
      <c r="Q626" s="19">
        <f t="shared" si="365"/>
        <v>20820</v>
      </c>
      <c r="R626" s="6">
        <f t="shared" si="366"/>
        <v>146</v>
      </c>
      <c r="S626" s="6"/>
      <c r="T626" s="6"/>
      <c r="U626" s="126">
        <f t="shared" si="367"/>
        <v>102</v>
      </c>
      <c r="V626" s="126">
        <f t="shared" si="368"/>
        <v>23</v>
      </c>
      <c r="W626" s="6"/>
      <c r="X626" s="6"/>
      <c r="Y626" s="6"/>
      <c r="Z626" s="6"/>
      <c r="AA626" s="19">
        <f t="shared" si="369"/>
        <v>21091</v>
      </c>
      <c r="AB626" s="19">
        <f t="shared" si="370"/>
        <v>22728</v>
      </c>
      <c r="AC626" s="15">
        <f t="shared" si="378"/>
        <v>11962.11</v>
      </c>
      <c r="AD626" s="15">
        <f t="shared" si="379"/>
        <v>22728.01</v>
      </c>
      <c r="AE626" s="25"/>
      <c r="AF626" s="157">
        <f t="shared" si="373"/>
        <v>0.01</v>
      </c>
    </row>
    <row r="627" spans="1:32" s="4" customFormat="1" x14ac:dyDescent="0.25">
      <c r="A627" s="64" t="s">
        <v>665</v>
      </c>
      <c r="B627" s="55" t="s">
        <v>507</v>
      </c>
      <c r="C627" s="16" t="s">
        <v>72</v>
      </c>
      <c r="D627" s="47">
        <v>77.2</v>
      </c>
      <c r="E627" s="45">
        <f t="shared" si="362"/>
        <v>185.06</v>
      </c>
      <c r="F627" s="45"/>
      <c r="G627" s="45"/>
      <c r="H627" s="44">
        <v>14287</v>
      </c>
      <c r="I627" s="15"/>
      <c r="J627" s="15"/>
      <c r="K627" s="15"/>
      <c r="L627" s="15"/>
      <c r="M627" s="44"/>
      <c r="N627" s="44"/>
      <c r="O627" s="44">
        <f t="shared" si="363"/>
        <v>130297</v>
      </c>
      <c r="P627" s="19">
        <f t="shared" si="364"/>
        <v>5342</v>
      </c>
      <c r="Q627" s="19">
        <f t="shared" si="365"/>
        <v>135639</v>
      </c>
      <c r="R627" s="6">
        <f t="shared" si="366"/>
        <v>949</v>
      </c>
      <c r="S627" s="6"/>
      <c r="T627" s="6"/>
      <c r="U627" s="126">
        <f t="shared" si="367"/>
        <v>662</v>
      </c>
      <c r="V627" s="126">
        <f t="shared" si="368"/>
        <v>152</v>
      </c>
      <c r="W627" s="6"/>
      <c r="X627" s="6"/>
      <c r="Y627" s="6"/>
      <c r="Z627" s="6"/>
      <c r="AA627" s="19">
        <f t="shared" si="369"/>
        <v>137402</v>
      </c>
      <c r="AB627" s="19">
        <f t="shared" si="370"/>
        <v>148067</v>
      </c>
      <c r="AC627" s="15">
        <f t="shared" si="378"/>
        <v>1917.97</v>
      </c>
      <c r="AD627" s="15">
        <f t="shared" si="379"/>
        <v>148067.28</v>
      </c>
      <c r="AE627" s="25"/>
      <c r="AF627" s="157">
        <f t="shared" si="373"/>
        <v>0.28000000000000003</v>
      </c>
    </row>
    <row r="628" spans="1:32" s="4" customFormat="1" x14ac:dyDescent="0.25">
      <c r="A628" s="64" t="s">
        <v>666</v>
      </c>
      <c r="B628" s="55" t="s">
        <v>509</v>
      </c>
      <c r="C628" s="16" t="s">
        <v>70</v>
      </c>
      <c r="D628" s="47">
        <v>28.4</v>
      </c>
      <c r="E628" s="45">
        <f t="shared" ref="E628" si="380">H628/D628</f>
        <v>290.04000000000002</v>
      </c>
      <c r="F628" s="45"/>
      <c r="G628" s="45"/>
      <c r="H628" s="44">
        <v>8237</v>
      </c>
      <c r="I628" s="15"/>
      <c r="J628" s="15"/>
      <c r="K628" s="15"/>
      <c r="L628" s="15"/>
      <c r="M628" s="44"/>
      <c r="N628" s="44"/>
      <c r="O628" s="44">
        <f t="shared" ref="O628:O630" si="381">H628*9.12</f>
        <v>75121</v>
      </c>
      <c r="P628" s="19">
        <f t="shared" ref="P628:P630" si="382">O628*4.1%</f>
        <v>3080</v>
      </c>
      <c r="Q628" s="19">
        <f t="shared" ref="Q628:Q630" si="383">SUM(O628:P628)</f>
        <v>78201</v>
      </c>
      <c r="R628" s="6">
        <f t="shared" ref="R628:R630" si="384">Q628*0.7%</f>
        <v>547</v>
      </c>
      <c r="S628" s="6"/>
      <c r="T628" s="6"/>
      <c r="U628" s="126">
        <f t="shared" ref="U628:U630" si="385">Q628*$U$4</f>
        <v>381</v>
      </c>
      <c r="V628" s="126">
        <f t="shared" ref="V628:V630" si="386">Q628*$V$4</f>
        <v>88</v>
      </c>
      <c r="W628" s="6"/>
      <c r="X628" s="6"/>
      <c r="Y628" s="6"/>
      <c r="Z628" s="6"/>
      <c r="AA628" s="19">
        <f t="shared" ref="AA628:AA630" si="387">SUM(Q628:Z628)</f>
        <v>79217</v>
      </c>
      <c r="AB628" s="19">
        <f t="shared" ref="AB628:AB630" si="388">$AA628*AB$7</f>
        <v>85366</v>
      </c>
      <c r="AC628" s="15">
        <f t="shared" si="378"/>
        <v>3005.85</v>
      </c>
      <c r="AD628" s="15">
        <f t="shared" si="379"/>
        <v>85366.14</v>
      </c>
      <c r="AE628" s="25"/>
      <c r="AF628" s="157">
        <f t="shared" si="373"/>
        <v>0.14000000000000001</v>
      </c>
    </row>
    <row r="629" spans="1:32" s="43" customFormat="1" x14ac:dyDescent="0.25">
      <c r="A629" s="23" t="s">
        <v>667</v>
      </c>
      <c r="B629" s="17" t="s">
        <v>491</v>
      </c>
      <c r="C629" s="24"/>
      <c r="D629" s="13"/>
      <c r="E629" s="45"/>
      <c r="F629" s="45"/>
      <c r="G629" s="45"/>
      <c r="H629" s="44"/>
      <c r="I629" s="15"/>
      <c r="J629" s="15"/>
      <c r="K629" s="15"/>
      <c r="L629" s="15"/>
      <c r="M629" s="44"/>
      <c r="N629" s="44"/>
      <c r="O629" s="44"/>
      <c r="P629" s="19"/>
      <c r="Q629" s="19"/>
      <c r="R629" s="6"/>
      <c r="S629" s="6"/>
      <c r="T629" s="6"/>
      <c r="U629" s="126"/>
      <c r="V629" s="126"/>
      <c r="W629" s="6"/>
      <c r="X629" s="6"/>
      <c r="Y629" s="6"/>
      <c r="Z629" s="6"/>
      <c r="AA629" s="19"/>
      <c r="AB629" s="19"/>
      <c r="AC629" s="15"/>
      <c r="AD629" s="15"/>
      <c r="AE629" s="25"/>
      <c r="AF629" s="157">
        <f t="shared" si="373"/>
        <v>0</v>
      </c>
    </row>
    <row r="630" spans="1:32" s="4" customFormat="1" x14ac:dyDescent="0.25">
      <c r="A630" s="64" t="s">
        <v>668</v>
      </c>
      <c r="B630" s="55" t="s">
        <v>491</v>
      </c>
      <c r="C630" s="16" t="s">
        <v>311</v>
      </c>
      <c r="D630" s="47">
        <v>14</v>
      </c>
      <c r="E630" s="45">
        <f>H630/D630</f>
        <v>46608.21</v>
      </c>
      <c r="F630" s="45"/>
      <c r="G630" s="45"/>
      <c r="H630" s="44">
        <v>652515</v>
      </c>
      <c r="I630" s="15"/>
      <c r="J630" s="15"/>
      <c r="K630" s="15"/>
      <c r="L630" s="15"/>
      <c r="M630" s="44"/>
      <c r="N630" s="44"/>
      <c r="O630" s="44">
        <f t="shared" si="381"/>
        <v>5950937</v>
      </c>
      <c r="P630" s="19">
        <f t="shared" si="382"/>
        <v>243988</v>
      </c>
      <c r="Q630" s="19">
        <f t="shared" si="383"/>
        <v>6194925</v>
      </c>
      <c r="R630" s="6">
        <f t="shared" si="384"/>
        <v>43364</v>
      </c>
      <c r="S630" s="6"/>
      <c r="T630" s="6"/>
      <c r="U630" s="126">
        <f t="shared" si="385"/>
        <v>30215</v>
      </c>
      <c r="V630" s="126">
        <f t="shared" si="386"/>
        <v>6935</v>
      </c>
      <c r="W630" s="6"/>
      <c r="X630" s="6"/>
      <c r="Y630" s="6"/>
      <c r="Z630" s="6"/>
      <c r="AA630" s="19">
        <f t="shared" si="387"/>
        <v>6275439</v>
      </c>
      <c r="AB630" s="19">
        <f t="shared" si="388"/>
        <v>6762539</v>
      </c>
      <c r="AC630" s="15">
        <f>AB630/D630</f>
        <v>483038.5</v>
      </c>
      <c r="AD630" s="15">
        <f>AC630*D630</f>
        <v>6762539</v>
      </c>
      <c r="AE630" s="25"/>
      <c r="AF630" s="157">
        <f t="shared" si="373"/>
        <v>0</v>
      </c>
    </row>
    <row r="631" spans="1:32" s="34" customFormat="1" x14ac:dyDescent="0.25">
      <c r="A631" s="10" t="s">
        <v>158</v>
      </c>
      <c r="B631" s="17" t="s">
        <v>1339</v>
      </c>
      <c r="C631" s="46"/>
      <c r="D631" s="46"/>
      <c r="E631" s="46"/>
      <c r="F631" s="46"/>
      <c r="G631" s="46"/>
      <c r="H631" s="46"/>
      <c r="I631" s="15"/>
      <c r="J631" s="15"/>
      <c r="K631" s="15"/>
      <c r="L631" s="15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5"/>
      <c r="AF631" s="157">
        <f t="shared" si="373"/>
        <v>0</v>
      </c>
    </row>
    <row r="632" spans="1:32" s="51" customFormat="1" x14ac:dyDescent="0.25">
      <c r="A632" s="109" t="s">
        <v>159</v>
      </c>
      <c r="B632" s="56" t="s">
        <v>247</v>
      </c>
      <c r="C632" s="92"/>
      <c r="D632" s="93"/>
      <c r="E632" s="110"/>
      <c r="F632" s="110"/>
      <c r="G632" s="110"/>
      <c r="H632" s="111">
        <v>22179320</v>
      </c>
      <c r="I632" s="20"/>
      <c r="J632" s="20">
        <f>22179.32*1000</f>
        <v>22179320</v>
      </c>
      <c r="K632" s="20" t="s">
        <v>18</v>
      </c>
      <c r="L632" s="20">
        <f>H632-J632</f>
        <v>0</v>
      </c>
      <c r="M632" s="95">
        <v>202275460</v>
      </c>
      <c r="N632" s="50">
        <f>SUM(O634:O670)-M632</f>
        <v>3</v>
      </c>
      <c r="O632" s="95"/>
      <c r="P632" s="50"/>
      <c r="Q632" s="50"/>
      <c r="R632" s="50"/>
      <c r="S632" s="95"/>
      <c r="T632" s="95"/>
      <c r="U632" s="126"/>
      <c r="V632" s="126"/>
      <c r="W632" s="50"/>
      <c r="X632" s="95"/>
      <c r="Y632" s="95"/>
      <c r="Z632" s="95"/>
      <c r="AA632" s="50"/>
      <c r="AB632" s="50"/>
      <c r="AC632" s="20"/>
      <c r="AD632" s="20"/>
      <c r="AE632" s="97"/>
      <c r="AF632" s="157">
        <f t="shared" si="373"/>
        <v>0</v>
      </c>
    </row>
    <row r="633" spans="1:32" s="43" customFormat="1" x14ac:dyDescent="0.25">
      <c r="A633" s="49" t="s">
        <v>160</v>
      </c>
      <c r="B633" s="11" t="s">
        <v>153</v>
      </c>
      <c r="C633" s="46"/>
      <c r="D633" s="13"/>
      <c r="E633" s="14"/>
      <c r="F633" s="14"/>
      <c r="G633" s="14"/>
      <c r="H633" s="48"/>
      <c r="I633" s="15"/>
      <c r="J633" s="15"/>
      <c r="K633" s="15"/>
      <c r="L633" s="15"/>
      <c r="M633" s="22"/>
      <c r="N633" s="22"/>
      <c r="O633" s="22"/>
      <c r="P633" s="19"/>
      <c r="Q633" s="19"/>
      <c r="R633" s="6"/>
      <c r="S633" s="6"/>
      <c r="T633" s="6"/>
      <c r="U633" s="6"/>
      <c r="V633" s="6"/>
      <c r="W633" s="6"/>
      <c r="X633" s="6"/>
      <c r="Y633" s="6"/>
      <c r="Z633" s="6"/>
      <c r="AA633" s="19"/>
      <c r="AB633" s="19"/>
      <c r="AC633" s="15"/>
      <c r="AD633" s="15"/>
      <c r="AE633" s="25"/>
      <c r="AF633" s="157">
        <f t="shared" si="373"/>
        <v>0</v>
      </c>
    </row>
    <row r="634" spans="1:32" s="4" customFormat="1" x14ac:dyDescent="0.25">
      <c r="A634" s="64" t="s">
        <v>161</v>
      </c>
      <c r="B634" s="55" t="s">
        <v>113</v>
      </c>
      <c r="C634" s="16" t="s">
        <v>70</v>
      </c>
      <c r="D634" s="47">
        <f>25696+79025+5948+1466+45+3675+114+2423</f>
        <v>118392</v>
      </c>
      <c r="E634" s="45">
        <f>H634/D634</f>
        <v>20.5</v>
      </c>
      <c r="F634" s="45"/>
      <c r="G634" s="45"/>
      <c r="H634" s="44">
        <v>2427080</v>
      </c>
      <c r="I634" s="15"/>
      <c r="J634" s="15"/>
      <c r="K634" s="15"/>
      <c r="L634" s="15"/>
      <c r="M634" s="44"/>
      <c r="N634" s="44"/>
      <c r="O634" s="44">
        <f>H634*9.12</f>
        <v>22134970</v>
      </c>
      <c r="P634" s="19">
        <f>O634*4.1%</f>
        <v>907534</v>
      </c>
      <c r="Q634" s="19">
        <f>SUM(O634:P634)</f>
        <v>23042504</v>
      </c>
      <c r="R634" s="6">
        <f>Q634*0.7%</f>
        <v>161298</v>
      </c>
      <c r="S634" s="6"/>
      <c r="T634" s="6"/>
      <c r="U634" s="126">
        <f>Q634*$U$4</f>
        <v>112388</v>
      </c>
      <c r="V634" s="126">
        <f>Q634*$V$4</f>
        <v>25795</v>
      </c>
      <c r="W634" s="6"/>
      <c r="X634" s="6"/>
      <c r="Y634" s="6"/>
      <c r="Z634" s="6"/>
      <c r="AA634" s="19">
        <f>SUM(Q634:Z634)</f>
        <v>23341985</v>
      </c>
      <c r="AB634" s="19">
        <f>$AA634*AB$7</f>
        <v>25153790</v>
      </c>
      <c r="AC634" s="15">
        <f t="shared" ref="AC634:AC644" si="389">AB634/D634</f>
        <v>212.46</v>
      </c>
      <c r="AD634" s="15">
        <f t="shared" ref="AD634:AD644" si="390">AC634*D634</f>
        <v>25153564.32</v>
      </c>
      <c r="AE634" s="25"/>
      <c r="AF634" s="157">
        <f t="shared" si="373"/>
        <v>-225.68</v>
      </c>
    </row>
    <row r="635" spans="1:32" s="4" customFormat="1" x14ac:dyDescent="0.25">
      <c r="A635" s="64" t="s">
        <v>669</v>
      </c>
      <c r="B635" s="55" t="s">
        <v>422</v>
      </c>
      <c r="C635" s="16" t="s">
        <v>70</v>
      </c>
      <c r="D635" s="47">
        <f>247+144+4+6885+518</f>
        <v>7798</v>
      </c>
      <c r="E635" s="45">
        <f t="shared" ref="E635:E670" si="391">H635/D635</f>
        <v>102.55</v>
      </c>
      <c r="F635" s="45"/>
      <c r="G635" s="45"/>
      <c r="H635" s="44">
        <v>799705</v>
      </c>
      <c r="I635" s="15"/>
      <c r="J635" s="15"/>
      <c r="K635" s="15"/>
      <c r="L635" s="15"/>
      <c r="M635" s="44"/>
      <c r="N635" s="44"/>
      <c r="O635" s="44">
        <f t="shared" ref="O635:O670" si="392">H635*9.12</f>
        <v>7293310</v>
      </c>
      <c r="P635" s="19">
        <f t="shared" ref="P635:P670" si="393">O635*4.1%</f>
        <v>299026</v>
      </c>
      <c r="Q635" s="19">
        <f t="shared" ref="Q635:Q670" si="394">SUM(O635:P635)</f>
        <v>7592336</v>
      </c>
      <c r="R635" s="6">
        <f t="shared" ref="R635:R670" si="395">Q635*0.7%</f>
        <v>53146</v>
      </c>
      <c r="S635" s="6"/>
      <c r="T635" s="6"/>
      <c r="U635" s="126">
        <f t="shared" ref="U635:U670" si="396">Q635*$U$4</f>
        <v>37031</v>
      </c>
      <c r="V635" s="126">
        <f t="shared" ref="V635:V670" si="397">Q635*$V$4</f>
        <v>8499</v>
      </c>
      <c r="W635" s="6"/>
      <c r="X635" s="6"/>
      <c r="Y635" s="6"/>
      <c r="Z635" s="6"/>
      <c r="AA635" s="19">
        <f t="shared" ref="AA635:AA670" si="398">SUM(Q635:Z635)</f>
        <v>7691012</v>
      </c>
      <c r="AB635" s="19">
        <f t="shared" ref="AB635:AB670" si="399">$AA635*AB$7</f>
        <v>8287988</v>
      </c>
      <c r="AC635" s="15">
        <f t="shared" si="389"/>
        <v>1062.8399999999999</v>
      </c>
      <c r="AD635" s="15">
        <f t="shared" si="390"/>
        <v>8288026.3200000003</v>
      </c>
      <c r="AE635" s="25"/>
      <c r="AF635" s="157">
        <f t="shared" si="373"/>
        <v>38.32</v>
      </c>
    </row>
    <row r="636" spans="1:32" s="4" customFormat="1" x14ac:dyDescent="0.25">
      <c r="A636" s="64" t="s">
        <v>670</v>
      </c>
      <c r="B636" s="55" t="s">
        <v>392</v>
      </c>
      <c r="C636" s="16" t="s">
        <v>70</v>
      </c>
      <c r="D636" s="47">
        <f>25953+6180+9826</f>
        <v>41959</v>
      </c>
      <c r="E636" s="45">
        <f t="shared" si="391"/>
        <v>162.51</v>
      </c>
      <c r="F636" s="45"/>
      <c r="G636" s="45"/>
      <c r="H636" s="44">
        <v>6818802</v>
      </c>
      <c r="I636" s="15"/>
      <c r="J636" s="15"/>
      <c r="K636" s="15"/>
      <c r="L636" s="15"/>
      <c r="M636" s="44"/>
      <c r="N636" s="44"/>
      <c r="O636" s="44">
        <f t="shared" si="392"/>
        <v>62187474</v>
      </c>
      <c r="P636" s="19">
        <f t="shared" si="393"/>
        <v>2549686</v>
      </c>
      <c r="Q636" s="19">
        <f t="shared" si="394"/>
        <v>64737160</v>
      </c>
      <c r="R636" s="6">
        <f t="shared" si="395"/>
        <v>453160</v>
      </c>
      <c r="S636" s="6"/>
      <c r="T636" s="6"/>
      <c r="U636" s="126">
        <f t="shared" si="396"/>
        <v>315751</v>
      </c>
      <c r="V636" s="126">
        <f t="shared" si="397"/>
        <v>72470</v>
      </c>
      <c r="W636" s="6"/>
      <c r="X636" s="6"/>
      <c r="Y636" s="6"/>
      <c r="Z636" s="6"/>
      <c r="AA636" s="19">
        <f t="shared" si="398"/>
        <v>65578541</v>
      </c>
      <c r="AB636" s="19">
        <f t="shared" si="399"/>
        <v>70668747</v>
      </c>
      <c r="AC636" s="15">
        <f t="shared" si="389"/>
        <v>1684.23</v>
      </c>
      <c r="AD636" s="15">
        <f t="shared" si="390"/>
        <v>70668606.569999993</v>
      </c>
      <c r="AE636" s="25"/>
      <c r="AF636" s="157">
        <f t="shared" si="373"/>
        <v>-140.43</v>
      </c>
    </row>
    <row r="637" spans="1:32" s="4" customFormat="1" x14ac:dyDescent="0.25">
      <c r="A637" s="64" t="s">
        <v>671</v>
      </c>
      <c r="B637" s="55" t="s">
        <v>393</v>
      </c>
      <c r="C637" s="16" t="s">
        <v>70</v>
      </c>
      <c r="D637" s="47">
        <v>6620</v>
      </c>
      <c r="E637" s="45">
        <f t="shared" si="391"/>
        <v>29.44</v>
      </c>
      <c r="F637" s="45"/>
      <c r="G637" s="45"/>
      <c r="H637" s="44">
        <v>194900</v>
      </c>
      <c r="I637" s="15"/>
      <c r="J637" s="15"/>
      <c r="K637" s="15"/>
      <c r="L637" s="15"/>
      <c r="M637" s="44"/>
      <c r="N637" s="44"/>
      <c r="O637" s="44">
        <f t="shared" si="392"/>
        <v>1777488</v>
      </c>
      <c r="P637" s="19">
        <f t="shared" si="393"/>
        <v>72877</v>
      </c>
      <c r="Q637" s="19">
        <f t="shared" si="394"/>
        <v>1850365</v>
      </c>
      <c r="R637" s="6">
        <f t="shared" si="395"/>
        <v>12953</v>
      </c>
      <c r="S637" s="6"/>
      <c r="T637" s="6"/>
      <c r="U637" s="126">
        <f t="shared" si="396"/>
        <v>9025</v>
      </c>
      <c r="V637" s="126">
        <f t="shared" si="397"/>
        <v>2071</v>
      </c>
      <c r="W637" s="6"/>
      <c r="X637" s="6"/>
      <c r="Y637" s="6"/>
      <c r="Z637" s="6"/>
      <c r="AA637" s="19">
        <f t="shared" si="398"/>
        <v>1874414</v>
      </c>
      <c r="AB637" s="19">
        <f t="shared" si="399"/>
        <v>2019906</v>
      </c>
      <c r="AC637" s="15">
        <f t="shared" si="389"/>
        <v>305.12</v>
      </c>
      <c r="AD637" s="15">
        <f t="shared" si="390"/>
        <v>2019894.4</v>
      </c>
      <c r="AE637" s="25"/>
      <c r="AF637" s="157">
        <f t="shared" si="373"/>
        <v>-11.6</v>
      </c>
    </row>
    <row r="638" spans="1:32" s="4" customFormat="1" x14ac:dyDescent="0.25">
      <c r="A638" s="64" t="s">
        <v>672</v>
      </c>
      <c r="B638" s="55" t="s">
        <v>395</v>
      </c>
      <c r="C638" s="16" t="s">
        <v>72</v>
      </c>
      <c r="D638" s="47">
        <f>14697+6974+414</f>
        <v>22085</v>
      </c>
      <c r="E638" s="45">
        <f t="shared" si="391"/>
        <v>29.4</v>
      </c>
      <c r="F638" s="45"/>
      <c r="G638" s="45"/>
      <c r="H638" s="44">
        <v>649269</v>
      </c>
      <c r="I638" s="15"/>
      <c r="J638" s="15"/>
      <c r="K638" s="15"/>
      <c r="L638" s="15"/>
      <c r="M638" s="44"/>
      <c r="N638" s="44"/>
      <c r="O638" s="44">
        <f t="shared" si="392"/>
        <v>5921333</v>
      </c>
      <c r="P638" s="19">
        <f t="shared" si="393"/>
        <v>242775</v>
      </c>
      <c r="Q638" s="19">
        <f t="shared" si="394"/>
        <v>6164108</v>
      </c>
      <c r="R638" s="6">
        <f t="shared" si="395"/>
        <v>43149</v>
      </c>
      <c r="S638" s="6"/>
      <c r="T638" s="6"/>
      <c r="U638" s="126">
        <f t="shared" si="396"/>
        <v>30065</v>
      </c>
      <c r="V638" s="126">
        <f t="shared" si="397"/>
        <v>6900</v>
      </c>
      <c r="W638" s="6"/>
      <c r="X638" s="6"/>
      <c r="Y638" s="6"/>
      <c r="Z638" s="6"/>
      <c r="AA638" s="19">
        <f t="shared" si="398"/>
        <v>6244222</v>
      </c>
      <c r="AB638" s="19">
        <f t="shared" si="399"/>
        <v>6728899</v>
      </c>
      <c r="AC638" s="15">
        <f t="shared" si="389"/>
        <v>304.68</v>
      </c>
      <c r="AD638" s="15">
        <f t="shared" si="390"/>
        <v>6728857.7999999998</v>
      </c>
      <c r="AE638" s="25"/>
      <c r="AF638" s="157">
        <f t="shared" si="373"/>
        <v>-41.2</v>
      </c>
    </row>
    <row r="639" spans="1:32" s="4" customFormat="1" x14ac:dyDescent="0.25">
      <c r="A639" s="64" t="s">
        <v>673</v>
      </c>
      <c r="B639" s="55" t="s">
        <v>394</v>
      </c>
      <c r="C639" s="16" t="s">
        <v>72</v>
      </c>
      <c r="D639" s="47">
        <f>807</f>
        <v>807</v>
      </c>
      <c r="E639" s="45">
        <f t="shared" si="391"/>
        <v>106.51</v>
      </c>
      <c r="F639" s="45"/>
      <c r="G639" s="45"/>
      <c r="H639" s="44">
        <v>85951</v>
      </c>
      <c r="I639" s="15"/>
      <c r="J639" s="15"/>
      <c r="K639" s="15"/>
      <c r="L639" s="15"/>
      <c r="M639" s="44"/>
      <c r="N639" s="44"/>
      <c r="O639" s="44">
        <f t="shared" si="392"/>
        <v>783873</v>
      </c>
      <c r="P639" s="19">
        <f t="shared" si="393"/>
        <v>32139</v>
      </c>
      <c r="Q639" s="19">
        <f t="shared" si="394"/>
        <v>816012</v>
      </c>
      <c r="R639" s="6">
        <f t="shared" si="395"/>
        <v>5712</v>
      </c>
      <c r="S639" s="6"/>
      <c r="T639" s="6"/>
      <c r="U639" s="126">
        <f t="shared" si="396"/>
        <v>3980</v>
      </c>
      <c r="V639" s="126">
        <f t="shared" si="397"/>
        <v>913</v>
      </c>
      <c r="W639" s="6"/>
      <c r="X639" s="6"/>
      <c r="Y639" s="6"/>
      <c r="Z639" s="6"/>
      <c r="AA639" s="19">
        <f t="shared" si="398"/>
        <v>826617</v>
      </c>
      <c r="AB639" s="19">
        <f t="shared" si="399"/>
        <v>890779</v>
      </c>
      <c r="AC639" s="15">
        <f t="shared" si="389"/>
        <v>1103.82</v>
      </c>
      <c r="AD639" s="15">
        <f t="shared" si="390"/>
        <v>890782.74</v>
      </c>
      <c r="AE639" s="25"/>
      <c r="AF639" s="157">
        <f t="shared" si="373"/>
        <v>3.74</v>
      </c>
    </row>
    <row r="640" spans="1:32" s="4" customFormat="1" x14ac:dyDescent="0.25">
      <c r="A640" s="64" t="s">
        <v>674</v>
      </c>
      <c r="B640" s="55" t="s">
        <v>396</v>
      </c>
      <c r="C640" s="16" t="s">
        <v>72</v>
      </c>
      <c r="D640" s="47">
        <f>504+87</f>
        <v>591</v>
      </c>
      <c r="E640" s="45">
        <f t="shared" si="391"/>
        <v>76.42</v>
      </c>
      <c r="F640" s="45"/>
      <c r="G640" s="45"/>
      <c r="H640" s="44">
        <v>45163</v>
      </c>
      <c r="I640" s="15"/>
      <c r="J640" s="15"/>
      <c r="K640" s="15"/>
      <c r="L640" s="15"/>
      <c r="M640" s="44"/>
      <c r="N640" s="44"/>
      <c r="O640" s="44">
        <f t="shared" si="392"/>
        <v>411887</v>
      </c>
      <c r="P640" s="19">
        <f t="shared" si="393"/>
        <v>16887</v>
      </c>
      <c r="Q640" s="19">
        <f t="shared" si="394"/>
        <v>428774</v>
      </c>
      <c r="R640" s="6">
        <f t="shared" si="395"/>
        <v>3001</v>
      </c>
      <c r="S640" s="6"/>
      <c r="T640" s="6"/>
      <c r="U640" s="126">
        <f t="shared" si="396"/>
        <v>2091</v>
      </c>
      <c r="V640" s="126">
        <f t="shared" si="397"/>
        <v>480</v>
      </c>
      <c r="W640" s="6"/>
      <c r="X640" s="6"/>
      <c r="Y640" s="6"/>
      <c r="Z640" s="6"/>
      <c r="AA640" s="19">
        <f t="shared" si="398"/>
        <v>434346</v>
      </c>
      <c r="AB640" s="19">
        <f t="shared" si="399"/>
        <v>468060</v>
      </c>
      <c r="AC640" s="15">
        <f t="shared" si="389"/>
        <v>791.98</v>
      </c>
      <c r="AD640" s="15">
        <f t="shared" si="390"/>
        <v>468060.18</v>
      </c>
      <c r="AE640" s="25"/>
      <c r="AF640" s="157">
        <f t="shared" ref="AF640:AF703" si="400">AD640-AB640</f>
        <v>0.18</v>
      </c>
    </row>
    <row r="641" spans="1:32" s="4" customFormat="1" x14ac:dyDescent="0.25">
      <c r="A641" s="64" t="s">
        <v>675</v>
      </c>
      <c r="B641" s="55" t="s">
        <v>397</v>
      </c>
      <c r="C641" s="16" t="s">
        <v>72</v>
      </c>
      <c r="D641" s="47">
        <f>2002</f>
        <v>2002</v>
      </c>
      <c r="E641" s="45">
        <f t="shared" si="391"/>
        <v>155.30000000000001</v>
      </c>
      <c r="F641" s="45"/>
      <c r="G641" s="45"/>
      <c r="H641" s="44">
        <v>310902</v>
      </c>
      <c r="I641" s="15"/>
      <c r="J641" s="15"/>
      <c r="K641" s="15"/>
      <c r="L641" s="15"/>
      <c r="M641" s="44"/>
      <c r="N641" s="44"/>
      <c r="O641" s="44">
        <f t="shared" si="392"/>
        <v>2835426</v>
      </c>
      <c r="P641" s="19">
        <f t="shared" si="393"/>
        <v>116252</v>
      </c>
      <c r="Q641" s="19">
        <f t="shared" si="394"/>
        <v>2951678</v>
      </c>
      <c r="R641" s="6">
        <f t="shared" si="395"/>
        <v>20662</v>
      </c>
      <c r="S641" s="6"/>
      <c r="T641" s="6"/>
      <c r="U641" s="126">
        <f t="shared" si="396"/>
        <v>14397</v>
      </c>
      <c r="V641" s="126">
        <f t="shared" si="397"/>
        <v>3304</v>
      </c>
      <c r="W641" s="6"/>
      <c r="X641" s="6"/>
      <c r="Y641" s="6"/>
      <c r="Z641" s="6"/>
      <c r="AA641" s="19">
        <f t="shared" si="398"/>
        <v>2990041</v>
      </c>
      <c r="AB641" s="19">
        <f t="shared" si="399"/>
        <v>3222128</v>
      </c>
      <c r="AC641" s="15">
        <f t="shared" si="389"/>
        <v>1609.45</v>
      </c>
      <c r="AD641" s="15">
        <f t="shared" si="390"/>
        <v>3222118.9</v>
      </c>
      <c r="AE641" s="25"/>
      <c r="AF641" s="157">
        <f t="shared" si="400"/>
        <v>-9.1</v>
      </c>
    </row>
    <row r="642" spans="1:32" s="4" customFormat="1" x14ac:dyDescent="0.25">
      <c r="A642" s="64" t="s">
        <v>676</v>
      </c>
      <c r="B642" s="55" t="s">
        <v>398</v>
      </c>
      <c r="C642" s="16" t="s">
        <v>72</v>
      </c>
      <c r="D642" s="47">
        <f>24</f>
        <v>24</v>
      </c>
      <c r="E642" s="45">
        <f t="shared" si="391"/>
        <v>394.67</v>
      </c>
      <c r="F642" s="45"/>
      <c r="G642" s="45"/>
      <c r="H642" s="44">
        <v>9472</v>
      </c>
      <c r="I642" s="15"/>
      <c r="J642" s="15"/>
      <c r="K642" s="15"/>
      <c r="L642" s="15"/>
      <c r="M642" s="44"/>
      <c r="N642" s="44"/>
      <c r="O642" s="44">
        <f t="shared" si="392"/>
        <v>86385</v>
      </c>
      <c r="P642" s="19">
        <f t="shared" si="393"/>
        <v>3542</v>
      </c>
      <c r="Q642" s="19">
        <f t="shared" si="394"/>
        <v>89927</v>
      </c>
      <c r="R642" s="6">
        <f t="shared" si="395"/>
        <v>629</v>
      </c>
      <c r="S642" s="6"/>
      <c r="T642" s="6"/>
      <c r="U642" s="126">
        <f t="shared" si="396"/>
        <v>439</v>
      </c>
      <c r="V642" s="126">
        <f t="shared" si="397"/>
        <v>101</v>
      </c>
      <c r="W642" s="6"/>
      <c r="X642" s="6"/>
      <c r="Y642" s="6"/>
      <c r="Z642" s="6"/>
      <c r="AA642" s="19">
        <f t="shared" si="398"/>
        <v>91096</v>
      </c>
      <c r="AB642" s="19">
        <f t="shared" si="399"/>
        <v>98167</v>
      </c>
      <c r="AC642" s="15">
        <f t="shared" si="389"/>
        <v>4090.29</v>
      </c>
      <c r="AD642" s="15">
        <f t="shared" si="390"/>
        <v>98166.96</v>
      </c>
      <c r="AE642" s="25"/>
      <c r="AF642" s="157">
        <f t="shared" si="400"/>
        <v>-0.04</v>
      </c>
    </row>
    <row r="643" spans="1:32" s="4" customFormat="1" x14ac:dyDescent="0.25">
      <c r="A643" s="64" t="s">
        <v>677</v>
      </c>
      <c r="B643" s="55" t="s">
        <v>399</v>
      </c>
      <c r="C643" s="16" t="s">
        <v>360</v>
      </c>
      <c r="D643" s="47">
        <v>215.57</v>
      </c>
      <c r="E643" s="45">
        <f t="shared" si="391"/>
        <v>1286.3</v>
      </c>
      <c r="F643" s="45"/>
      <c r="G643" s="45"/>
      <c r="H643" s="44">
        <v>277288</v>
      </c>
      <c r="I643" s="15"/>
      <c r="J643" s="15"/>
      <c r="K643" s="15"/>
      <c r="L643" s="15"/>
      <c r="M643" s="44"/>
      <c r="N643" s="44"/>
      <c r="O643" s="44">
        <f t="shared" si="392"/>
        <v>2528867</v>
      </c>
      <c r="P643" s="19">
        <f t="shared" si="393"/>
        <v>103684</v>
      </c>
      <c r="Q643" s="19">
        <f t="shared" si="394"/>
        <v>2632551</v>
      </c>
      <c r="R643" s="6">
        <f t="shared" si="395"/>
        <v>18428</v>
      </c>
      <c r="S643" s="6"/>
      <c r="T643" s="6"/>
      <c r="U643" s="126">
        <f t="shared" si="396"/>
        <v>12840</v>
      </c>
      <c r="V643" s="126">
        <f t="shared" si="397"/>
        <v>2947</v>
      </c>
      <c r="W643" s="6"/>
      <c r="X643" s="6"/>
      <c r="Y643" s="6"/>
      <c r="Z643" s="6"/>
      <c r="AA643" s="19">
        <f t="shared" si="398"/>
        <v>2666766</v>
      </c>
      <c r="AB643" s="19">
        <f t="shared" si="399"/>
        <v>2873760</v>
      </c>
      <c r="AC643" s="15">
        <f t="shared" si="389"/>
        <v>13330.98</v>
      </c>
      <c r="AD643" s="15">
        <f t="shared" si="390"/>
        <v>2873759.36</v>
      </c>
      <c r="AE643" s="25"/>
      <c r="AF643" s="157">
        <f t="shared" si="400"/>
        <v>-0.64</v>
      </c>
    </row>
    <row r="644" spans="1:32" s="4" customFormat="1" x14ac:dyDescent="0.25">
      <c r="A644" s="64" t="s">
        <v>678</v>
      </c>
      <c r="B644" s="55" t="s">
        <v>432</v>
      </c>
      <c r="C644" s="16" t="s">
        <v>67</v>
      </c>
      <c r="D644" s="47">
        <v>6</v>
      </c>
      <c r="E644" s="45">
        <f t="shared" si="391"/>
        <v>2980.17</v>
      </c>
      <c r="F644" s="45"/>
      <c r="G644" s="45"/>
      <c r="H644" s="44">
        <v>17881</v>
      </c>
      <c r="I644" s="15"/>
      <c r="J644" s="15"/>
      <c r="K644" s="15"/>
      <c r="L644" s="15"/>
      <c r="M644" s="44"/>
      <c r="N644" s="44"/>
      <c r="O644" s="44">
        <f t="shared" si="392"/>
        <v>163075</v>
      </c>
      <c r="P644" s="19">
        <f t="shared" si="393"/>
        <v>6686</v>
      </c>
      <c r="Q644" s="19">
        <f t="shared" si="394"/>
        <v>169761</v>
      </c>
      <c r="R644" s="6">
        <f t="shared" si="395"/>
        <v>1188</v>
      </c>
      <c r="S644" s="6"/>
      <c r="T644" s="6"/>
      <c r="U644" s="126">
        <f t="shared" si="396"/>
        <v>828</v>
      </c>
      <c r="V644" s="126">
        <f t="shared" si="397"/>
        <v>190</v>
      </c>
      <c r="W644" s="6"/>
      <c r="X644" s="6"/>
      <c r="Y644" s="6"/>
      <c r="Z644" s="6"/>
      <c r="AA644" s="19">
        <f t="shared" si="398"/>
        <v>171967</v>
      </c>
      <c r="AB644" s="19">
        <f t="shared" si="399"/>
        <v>185315</v>
      </c>
      <c r="AC644" s="15">
        <f t="shared" si="389"/>
        <v>30885.83</v>
      </c>
      <c r="AD644" s="15">
        <f t="shared" si="390"/>
        <v>185314.98</v>
      </c>
      <c r="AE644" s="25"/>
      <c r="AF644" s="157">
        <f t="shared" si="400"/>
        <v>-0.02</v>
      </c>
    </row>
    <row r="645" spans="1:32" s="43" customFormat="1" x14ac:dyDescent="0.25">
      <c r="A645" s="23" t="s">
        <v>679</v>
      </c>
      <c r="B645" s="17" t="s">
        <v>436</v>
      </c>
      <c r="C645" s="24"/>
      <c r="D645" s="13"/>
      <c r="E645" s="45"/>
      <c r="F645" s="45"/>
      <c r="G645" s="45"/>
      <c r="H645" s="44"/>
      <c r="I645" s="15"/>
      <c r="J645" s="15"/>
      <c r="K645" s="15"/>
      <c r="L645" s="15"/>
      <c r="M645" s="44"/>
      <c r="N645" s="44"/>
      <c r="O645" s="44"/>
      <c r="P645" s="19"/>
      <c r="Q645" s="19"/>
      <c r="R645" s="6"/>
      <c r="S645" s="6"/>
      <c r="T645" s="6"/>
      <c r="U645" s="126"/>
      <c r="V645" s="126"/>
      <c r="W645" s="6"/>
      <c r="X645" s="6"/>
      <c r="Y645" s="6"/>
      <c r="Z645" s="6"/>
      <c r="AA645" s="19"/>
      <c r="AB645" s="19"/>
      <c r="AC645" s="15"/>
      <c r="AD645" s="15"/>
      <c r="AE645" s="25"/>
      <c r="AF645" s="157">
        <f t="shared" si="400"/>
        <v>0</v>
      </c>
    </row>
    <row r="646" spans="1:32" s="4" customFormat="1" ht="25.5" x14ac:dyDescent="0.25">
      <c r="A646" s="64" t="s">
        <v>680</v>
      </c>
      <c r="B646" s="55" t="s">
        <v>681</v>
      </c>
      <c r="C646" s="16" t="s">
        <v>72</v>
      </c>
      <c r="D646" s="47">
        <v>10641</v>
      </c>
      <c r="E646" s="45">
        <f t="shared" si="391"/>
        <v>201.32</v>
      </c>
      <c r="F646" s="45"/>
      <c r="G646" s="45"/>
      <c r="H646" s="44">
        <v>2142236</v>
      </c>
      <c r="I646" s="15"/>
      <c r="J646" s="15"/>
      <c r="K646" s="15"/>
      <c r="L646" s="15"/>
      <c r="M646" s="44"/>
      <c r="N646" s="44"/>
      <c r="O646" s="44">
        <f t="shared" si="392"/>
        <v>19537192</v>
      </c>
      <c r="P646" s="19">
        <f t="shared" si="393"/>
        <v>801025</v>
      </c>
      <c r="Q646" s="19">
        <f t="shared" si="394"/>
        <v>20338217</v>
      </c>
      <c r="R646" s="6">
        <f t="shared" si="395"/>
        <v>142368</v>
      </c>
      <c r="S646" s="6"/>
      <c r="T646" s="6"/>
      <c r="U646" s="126">
        <f t="shared" si="396"/>
        <v>99198</v>
      </c>
      <c r="V646" s="126">
        <f t="shared" si="397"/>
        <v>22768</v>
      </c>
      <c r="W646" s="6"/>
      <c r="X646" s="6"/>
      <c r="Y646" s="6"/>
      <c r="Z646" s="6"/>
      <c r="AA646" s="19">
        <f t="shared" si="398"/>
        <v>20602551</v>
      </c>
      <c r="AB646" s="19">
        <f t="shared" si="399"/>
        <v>22201721</v>
      </c>
      <c r="AC646" s="15">
        <f t="shared" ref="AC646:AC658" si="401">AB646/D646</f>
        <v>2086.4299999999998</v>
      </c>
      <c r="AD646" s="15">
        <f t="shared" ref="AD646:AD658" si="402">AC646*D646</f>
        <v>22201701.629999999</v>
      </c>
      <c r="AE646" s="25"/>
      <c r="AF646" s="157">
        <f t="shared" si="400"/>
        <v>-19.37</v>
      </c>
    </row>
    <row r="647" spans="1:32" s="4" customFormat="1" ht="25.5" x14ac:dyDescent="0.25">
      <c r="A647" s="64" t="s">
        <v>682</v>
      </c>
      <c r="B647" s="55" t="s">
        <v>442</v>
      </c>
      <c r="C647" s="16" t="s">
        <v>72</v>
      </c>
      <c r="D647" s="47">
        <v>7414</v>
      </c>
      <c r="E647" s="45">
        <f t="shared" si="391"/>
        <v>210.61</v>
      </c>
      <c r="F647" s="45"/>
      <c r="G647" s="45"/>
      <c r="H647" s="44">
        <v>1561492</v>
      </c>
      <c r="I647" s="15"/>
      <c r="J647" s="15"/>
      <c r="K647" s="15"/>
      <c r="L647" s="15"/>
      <c r="M647" s="44"/>
      <c r="N647" s="44"/>
      <c r="O647" s="44">
        <f t="shared" si="392"/>
        <v>14240807</v>
      </c>
      <c r="P647" s="19">
        <f t="shared" si="393"/>
        <v>583873</v>
      </c>
      <c r="Q647" s="19">
        <f t="shared" si="394"/>
        <v>14824680</v>
      </c>
      <c r="R647" s="6">
        <f t="shared" si="395"/>
        <v>103773</v>
      </c>
      <c r="S647" s="6"/>
      <c r="T647" s="6"/>
      <c r="U647" s="126">
        <f t="shared" si="396"/>
        <v>72306</v>
      </c>
      <c r="V647" s="126">
        <f t="shared" si="397"/>
        <v>16596</v>
      </c>
      <c r="W647" s="6"/>
      <c r="X647" s="6"/>
      <c r="Y647" s="6"/>
      <c r="Z647" s="6"/>
      <c r="AA647" s="19">
        <f t="shared" si="398"/>
        <v>15017355</v>
      </c>
      <c r="AB647" s="19">
        <f t="shared" si="399"/>
        <v>16183002</v>
      </c>
      <c r="AC647" s="15">
        <f t="shared" si="401"/>
        <v>2182.7600000000002</v>
      </c>
      <c r="AD647" s="15">
        <f t="shared" si="402"/>
        <v>16182982.640000001</v>
      </c>
      <c r="AE647" s="25"/>
      <c r="AF647" s="157">
        <f t="shared" si="400"/>
        <v>-19.36</v>
      </c>
    </row>
    <row r="648" spans="1:32" s="4" customFormat="1" ht="25.5" x14ac:dyDescent="0.25">
      <c r="A648" s="64" t="s">
        <v>683</v>
      </c>
      <c r="B648" s="55" t="s">
        <v>684</v>
      </c>
      <c r="C648" s="16" t="s">
        <v>72</v>
      </c>
      <c r="D648" s="47">
        <f>5989+7312</f>
        <v>13301</v>
      </c>
      <c r="E648" s="45">
        <f t="shared" si="391"/>
        <v>239.58</v>
      </c>
      <c r="F648" s="45"/>
      <c r="G648" s="45"/>
      <c r="H648" s="44">
        <v>3186676</v>
      </c>
      <c r="I648" s="15"/>
      <c r="J648" s="15"/>
      <c r="K648" s="15"/>
      <c r="L648" s="15"/>
      <c r="M648" s="44"/>
      <c r="N648" s="44"/>
      <c r="O648" s="44">
        <f t="shared" si="392"/>
        <v>29062485</v>
      </c>
      <c r="P648" s="19">
        <f t="shared" si="393"/>
        <v>1191562</v>
      </c>
      <c r="Q648" s="19">
        <f t="shared" si="394"/>
        <v>30254047</v>
      </c>
      <c r="R648" s="6">
        <f t="shared" si="395"/>
        <v>211778</v>
      </c>
      <c r="S648" s="6"/>
      <c r="T648" s="6"/>
      <c r="U648" s="126">
        <f t="shared" si="396"/>
        <v>147562</v>
      </c>
      <c r="V648" s="126">
        <f t="shared" si="397"/>
        <v>33868</v>
      </c>
      <c r="W648" s="6"/>
      <c r="X648" s="6"/>
      <c r="Y648" s="6"/>
      <c r="Z648" s="6"/>
      <c r="AA648" s="19">
        <f t="shared" si="398"/>
        <v>30647255</v>
      </c>
      <c r="AB648" s="19">
        <f t="shared" si="399"/>
        <v>33026095</v>
      </c>
      <c r="AC648" s="15">
        <f t="shared" si="401"/>
        <v>2482.98</v>
      </c>
      <c r="AD648" s="15">
        <f t="shared" si="402"/>
        <v>33026116.98</v>
      </c>
      <c r="AE648" s="25"/>
      <c r="AF648" s="157">
        <f t="shared" si="400"/>
        <v>21.98</v>
      </c>
    </row>
    <row r="649" spans="1:32" s="4" customFormat="1" ht="25.5" x14ac:dyDescent="0.25">
      <c r="A649" s="64" t="s">
        <v>685</v>
      </c>
      <c r="B649" s="55" t="s">
        <v>610</v>
      </c>
      <c r="C649" s="16" t="s">
        <v>72</v>
      </c>
      <c r="D649" s="47">
        <f>13301</f>
        <v>13301</v>
      </c>
      <c r="E649" s="45">
        <f t="shared" si="391"/>
        <v>129.63999999999999</v>
      </c>
      <c r="F649" s="45"/>
      <c r="G649" s="45"/>
      <c r="H649" s="44">
        <v>1724382</v>
      </c>
      <c r="I649" s="15"/>
      <c r="J649" s="15"/>
      <c r="K649" s="15"/>
      <c r="L649" s="15"/>
      <c r="M649" s="44"/>
      <c r="N649" s="44"/>
      <c r="O649" s="44">
        <f t="shared" si="392"/>
        <v>15726364</v>
      </c>
      <c r="P649" s="19">
        <f t="shared" si="393"/>
        <v>644781</v>
      </c>
      <c r="Q649" s="19">
        <f t="shared" si="394"/>
        <v>16371145</v>
      </c>
      <c r="R649" s="6">
        <f t="shared" si="395"/>
        <v>114598</v>
      </c>
      <c r="S649" s="6"/>
      <c r="T649" s="6"/>
      <c r="U649" s="126">
        <f t="shared" si="396"/>
        <v>79849</v>
      </c>
      <c r="V649" s="126">
        <f t="shared" si="397"/>
        <v>18327</v>
      </c>
      <c r="W649" s="6"/>
      <c r="X649" s="6"/>
      <c r="Y649" s="6"/>
      <c r="Z649" s="6"/>
      <c r="AA649" s="19">
        <f t="shared" si="398"/>
        <v>16583919</v>
      </c>
      <c r="AB649" s="19">
        <f t="shared" si="399"/>
        <v>17871163</v>
      </c>
      <c r="AC649" s="15">
        <f t="shared" si="401"/>
        <v>1343.6</v>
      </c>
      <c r="AD649" s="15">
        <f t="shared" si="402"/>
        <v>17871223.600000001</v>
      </c>
      <c r="AE649" s="25"/>
      <c r="AF649" s="157">
        <f t="shared" si="400"/>
        <v>60.6</v>
      </c>
    </row>
    <row r="650" spans="1:32" s="4" customFormat="1" x14ac:dyDescent="0.25">
      <c r="A650" s="64" t="s">
        <v>686</v>
      </c>
      <c r="B650" s="55" t="s">
        <v>407</v>
      </c>
      <c r="C650" s="16" t="s">
        <v>70</v>
      </c>
      <c r="D650" s="47">
        <v>291</v>
      </c>
      <c r="E650" s="45">
        <f t="shared" si="391"/>
        <v>331.69</v>
      </c>
      <c r="F650" s="45"/>
      <c r="G650" s="45"/>
      <c r="H650" s="44">
        <v>96523</v>
      </c>
      <c r="I650" s="15"/>
      <c r="J650" s="15"/>
      <c r="K650" s="15"/>
      <c r="L650" s="15"/>
      <c r="M650" s="44"/>
      <c r="N650" s="44"/>
      <c r="O650" s="44">
        <f t="shared" si="392"/>
        <v>880290</v>
      </c>
      <c r="P650" s="19">
        <f t="shared" si="393"/>
        <v>36092</v>
      </c>
      <c r="Q650" s="19">
        <f t="shared" si="394"/>
        <v>916382</v>
      </c>
      <c r="R650" s="6">
        <f t="shared" si="395"/>
        <v>6415</v>
      </c>
      <c r="S650" s="6"/>
      <c r="T650" s="6"/>
      <c r="U650" s="126">
        <f t="shared" si="396"/>
        <v>4470</v>
      </c>
      <c r="V650" s="126">
        <f t="shared" si="397"/>
        <v>1026</v>
      </c>
      <c r="W650" s="6"/>
      <c r="X650" s="6"/>
      <c r="Y650" s="6"/>
      <c r="Z650" s="6"/>
      <c r="AA650" s="19">
        <f t="shared" si="398"/>
        <v>928293</v>
      </c>
      <c r="AB650" s="19">
        <f t="shared" si="399"/>
        <v>1000347</v>
      </c>
      <c r="AC650" s="15">
        <f t="shared" si="401"/>
        <v>3437.62</v>
      </c>
      <c r="AD650" s="15">
        <f t="shared" si="402"/>
        <v>1000347.42</v>
      </c>
      <c r="AE650" s="25"/>
      <c r="AF650" s="157">
        <f t="shared" si="400"/>
        <v>0.42</v>
      </c>
    </row>
    <row r="651" spans="1:32" s="4" customFormat="1" ht="25.5" x14ac:dyDescent="0.25">
      <c r="A651" s="64" t="s">
        <v>687</v>
      </c>
      <c r="B651" s="55" t="s">
        <v>688</v>
      </c>
      <c r="C651" s="16" t="s">
        <v>72</v>
      </c>
      <c r="D651" s="47">
        <f>2096</f>
        <v>2096</v>
      </c>
      <c r="E651" s="45">
        <f t="shared" si="391"/>
        <v>21.84</v>
      </c>
      <c r="F651" s="45"/>
      <c r="G651" s="45"/>
      <c r="H651" s="44">
        <v>45783</v>
      </c>
      <c r="I651" s="15"/>
      <c r="J651" s="15"/>
      <c r="K651" s="15"/>
      <c r="L651" s="15"/>
      <c r="M651" s="44"/>
      <c r="N651" s="44"/>
      <c r="O651" s="44">
        <f t="shared" si="392"/>
        <v>417541</v>
      </c>
      <c r="P651" s="19">
        <f t="shared" si="393"/>
        <v>17119</v>
      </c>
      <c r="Q651" s="19">
        <f t="shared" si="394"/>
        <v>434660</v>
      </c>
      <c r="R651" s="6">
        <f t="shared" si="395"/>
        <v>3043</v>
      </c>
      <c r="S651" s="6"/>
      <c r="T651" s="6"/>
      <c r="U651" s="126">
        <f t="shared" si="396"/>
        <v>2120</v>
      </c>
      <c r="V651" s="126">
        <f t="shared" si="397"/>
        <v>487</v>
      </c>
      <c r="W651" s="6"/>
      <c r="X651" s="6"/>
      <c r="Y651" s="6"/>
      <c r="Z651" s="6"/>
      <c r="AA651" s="19">
        <f t="shared" si="398"/>
        <v>440310</v>
      </c>
      <c r="AB651" s="19">
        <f t="shared" si="399"/>
        <v>474487</v>
      </c>
      <c r="AC651" s="15">
        <f t="shared" si="401"/>
        <v>226.38</v>
      </c>
      <c r="AD651" s="15">
        <f t="shared" si="402"/>
        <v>474492.48</v>
      </c>
      <c r="AE651" s="25"/>
      <c r="AF651" s="157">
        <f t="shared" si="400"/>
        <v>5.48</v>
      </c>
    </row>
    <row r="652" spans="1:32" s="4" customFormat="1" x14ac:dyDescent="0.25">
      <c r="A652" s="64" t="s">
        <v>689</v>
      </c>
      <c r="B652" s="55" t="s">
        <v>409</v>
      </c>
      <c r="C652" s="16" t="s">
        <v>72</v>
      </c>
      <c r="D652" s="47">
        <f>1313</f>
        <v>1313</v>
      </c>
      <c r="E652" s="45">
        <f t="shared" si="391"/>
        <v>23.22</v>
      </c>
      <c r="F652" s="45"/>
      <c r="G652" s="45"/>
      <c r="H652" s="44">
        <v>30484</v>
      </c>
      <c r="I652" s="15"/>
      <c r="J652" s="15"/>
      <c r="K652" s="15"/>
      <c r="L652" s="15"/>
      <c r="M652" s="44"/>
      <c r="N652" s="44"/>
      <c r="O652" s="44">
        <f t="shared" si="392"/>
        <v>278014</v>
      </c>
      <c r="P652" s="19">
        <f t="shared" si="393"/>
        <v>11399</v>
      </c>
      <c r="Q652" s="19">
        <f t="shared" si="394"/>
        <v>289413</v>
      </c>
      <c r="R652" s="6">
        <f t="shared" si="395"/>
        <v>2026</v>
      </c>
      <c r="S652" s="6"/>
      <c r="T652" s="6"/>
      <c r="U652" s="126">
        <f t="shared" si="396"/>
        <v>1412</v>
      </c>
      <c r="V652" s="126">
        <f t="shared" si="397"/>
        <v>324</v>
      </c>
      <c r="W652" s="6"/>
      <c r="X652" s="6"/>
      <c r="Y652" s="6"/>
      <c r="Z652" s="6"/>
      <c r="AA652" s="19">
        <f t="shared" si="398"/>
        <v>293175</v>
      </c>
      <c r="AB652" s="19">
        <f t="shared" si="399"/>
        <v>315931</v>
      </c>
      <c r="AC652" s="15">
        <f t="shared" si="401"/>
        <v>240.62</v>
      </c>
      <c r="AD652" s="15">
        <f t="shared" si="402"/>
        <v>315934.06</v>
      </c>
      <c r="AE652" s="25"/>
      <c r="AF652" s="157">
        <f t="shared" si="400"/>
        <v>3.06</v>
      </c>
    </row>
    <row r="653" spans="1:32" s="4" customFormat="1" x14ac:dyDescent="0.25">
      <c r="A653" s="64" t="s">
        <v>690</v>
      </c>
      <c r="B653" s="55" t="s">
        <v>412</v>
      </c>
      <c r="C653" s="16" t="s">
        <v>468</v>
      </c>
      <c r="D653" s="47">
        <v>1188</v>
      </c>
      <c r="E653" s="45">
        <f t="shared" si="391"/>
        <v>196.34</v>
      </c>
      <c r="F653" s="45"/>
      <c r="G653" s="45"/>
      <c r="H653" s="44">
        <v>233253</v>
      </c>
      <c r="I653" s="15"/>
      <c r="J653" s="15"/>
      <c r="K653" s="15"/>
      <c r="L653" s="15"/>
      <c r="M653" s="44"/>
      <c r="N653" s="44"/>
      <c r="O653" s="44">
        <f t="shared" si="392"/>
        <v>2127267</v>
      </c>
      <c r="P653" s="19">
        <f t="shared" si="393"/>
        <v>87218</v>
      </c>
      <c r="Q653" s="19">
        <f t="shared" si="394"/>
        <v>2214485</v>
      </c>
      <c r="R653" s="6">
        <f t="shared" si="395"/>
        <v>15501</v>
      </c>
      <c r="S653" s="6"/>
      <c r="T653" s="6"/>
      <c r="U653" s="126">
        <f t="shared" si="396"/>
        <v>10801</v>
      </c>
      <c r="V653" s="126">
        <f t="shared" si="397"/>
        <v>2479</v>
      </c>
      <c r="W653" s="6"/>
      <c r="X653" s="6"/>
      <c r="Y653" s="6"/>
      <c r="Z653" s="6"/>
      <c r="AA653" s="19">
        <f t="shared" si="398"/>
        <v>2243266</v>
      </c>
      <c r="AB653" s="19">
        <f t="shared" si="399"/>
        <v>2417388</v>
      </c>
      <c r="AC653" s="15">
        <f t="shared" si="401"/>
        <v>2034.84</v>
      </c>
      <c r="AD653" s="15">
        <f t="shared" si="402"/>
        <v>2417389.92</v>
      </c>
      <c r="AE653" s="25"/>
      <c r="AF653" s="157">
        <f t="shared" si="400"/>
        <v>1.92</v>
      </c>
    </row>
    <row r="654" spans="1:32" s="4" customFormat="1" ht="25.5" x14ac:dyDescent="0.25">
      <c r="A654" s="64" t="s">
        <v>691</v>
      </c>
      <c r="B654" s="55" t="s">
        <v>414</v>
      </c>
      <c r="C654" s="16" t="s">
        <v>67</v>
      </c>
      <c r="D654" s="47">
        <v>28</v>
      </c>
      <c r="E654" s="45">
        <f t="shared" si="391"/>
        <v>1162.6400000000001</v>
      </c>
      <c r="F654" s="45"/>
      <c r="G654" s="45"/>
      <c r="H654" s="44">
        <v>32554</v>
      </c>
      <c r="I654" s="15"/>
      <c r="J654" s="15"/>
      <c r="K654" s="15"/>
      <c r="L654" s="15"/>
      <c r="M654" s="44"/>
      <c r="N654" s="44"/>
      <c r="O654" s="44">
        <f t="shared" si="392"/>
        <v>296892</v>
      </c>
      <c r="P654" s="19">
        <f t="shared" si="393"/>
        <v>12173</v>
      </c>
      <c r="Q654" s="19">
        <f t="shared" si="394"/>
        <v>309065</v>
      </c>
      <c r="R654" s="6">
        <f t="shared" si="395"/>
        <v>2163</v>
      </c>
      <c r="S654" s="6"/>
      <c r="T654" s="6"/>
      <c r="U654" s="126">
        <f t="shared" si="396"/>
        <v>1507</v>
      </c>
      <c r="V654" s="126">
        <f t="shared" si="397"/>
        <v>346</v>
      </c>
      <c r="W654" s="6"/>
      <c r="X654" s="6"/>
      <c r="Y654" s="6"/>
      <c r="Z654" s="6"/>
      <c r="AA654" s="19">
        <f t="shared" si="398"/>
        <v>313081</v>
      </c>
      <c r="AB654" s="19">
        <f t="shared" si="399"/>
        <v>337382</v>
      </c>
      <c r="AC654" s="15">
        <f t="shared" si="401"/>
        <v>12049.36</v>
      </c>
      <c r="AD654" s="15">
        <f t="shared" si="402"/>
        <v>337382.08</v>
      </c>
      <c r="AE654" s="25"/>
      <c r="AF654" s="157">
        <f t="shared" si="400"/>
        <v>0.08</v>
      </c>
    </row>
    <row r="655" spans="1:32" s="4" customFormat="1" ht="25.5" x14ac:dyDescent="0.25">
      <c r="A655" s="64" t="s">
        <v>692</v>
      </c>
      <c r="B655" s="55" t="s">
        <v>415</v>
      </c>
      <c r="C655" s="16" t="s">
        <v>67</v>
      </c>
      <c r="D655" s="47">
        <v>2</v>
      </c>
      <c r="E655" s="45">
        <f t="shared" si="391"/>
        <v>1528.5</v>
      </c>
      <c r="F655" s="45"/>
      <c r="G655" s="45"/>
      <c r="H655" s="44">
        <v>3057</v>
      </c>
      <c r="I655" s="15"/>
      <c r="J655" s="15"/>
      <c r="K655" s="15"/>
      <c r="L655" s="15"/>
      <c r="M655" s="44"/>
      <c r="N655" s="44"/>
      <c r="O655" s="44">
        <f t="shared" si="392"/>
        <v>27880</v>
      </c>
      <c r="P655" s="19">
        <f t="shared" si="393"/>
        <v>1143</v>
      </c>
      <c r="Q655" s="19">
        <f t="shared" si="394"/>
        <v>29023</v>
      </c>
      <c r="R655" s="6">
        <f t="shared" si="395"/>
        <v>203</v>
      </c>
      <c r="S655" s="6"/>
      <c r="T655" s="6"/>
      <c r="U655" s="126">
        <f t="shared" si="396"/>
        <v>142</v>
      </c>
      <c r="V655" s="126">
        <f t="shared" si="397"/>
        <v>32</v>
      </c>
      <c r="W655" s="6"/>
      <c r="X655" s="6"/>
      <c r="Y655" s="6"/>
      <c r="Z655" s="6"/>
      <c r="AA655" s="19">
        <f t="shared" si="398"/>
        <v>29400</v>
      </c>
      <c r="AB655" s="19">
        <f t="shared" si="399"/>
        <v>31682</v>
      </c>
      <c r="AC655" s="15">
        <f t="shared" si="401"/>
        <v>15841</v>
      </c>
      <c r="AD655" s="15">
        <f t="shared" si="402"/>
        <v>31682</v>
      </c>
      <c r="AE655" s="25"/>
      <c r="AF655" s="157">
        <f t="shared" si="400"/>
        <v>0</v>
      </c>
    </row>
    <row r="656" spans="1:32" s="4" customFormat="1" x14ac:dyDescent="0.25">
      <c r="A656" s="64" t="s">
        <v>693</v>
      </c>
      <c r="B656" s="55" t="s">
        <v>475</v>
      </c>
      <c r="C656" s="16" t="s">
        <v>468</v>
      </c>
      <c r="D656" s="47">
        <v>151.69999999999999</v>
      </c>
      <c r="E656" s="45">
        <f t="shared" si="391"/>
        <v>656.94</v>
      </c>
      <c r="F656" s="45"/>
      <c r="G656" s="45"/>
      <c r="H656" s="44">
        <v>99658</v>
      </c>
      <c r="I656" s="15"/>
      <c r="J656" s="15"/>
      <c r="K656" s="15"/>
      <c r="L656" s="15"/>
      <c r="M656" s="44"/>
      <c r="N656" s="44"/>
      <c r="O656" s="44">
        <f t="shared" si="392"/>
        <v>908881</v>
      </c>
      <c r="P656" s="19">
        <f t="shared" si="393"/>
        <v>37264</v>
      </c>
      <c r="Q656" s="19">
        <f t="shared" si="394"/>
        <v>946145</v>
      </c>
      <c r="R656" s="6">
        <f t="shared" si="395"/>
        <v>6623</v>
      </c>
      <c r="S656" s="6"/>
      <c r="T656" s="6"/>
      <c r="U656" s="126">
        <f t="shared" si="396"/>
        <v>4615</v>
      </c>
      <c r="V656" s="126">
        <f t="shared" si="397"/>
        <v>1059</v>
      </c>
      <c r="W656" s="6"/>
      <c r="X656" s="6"/>
      <c r="Y656" s="6"/>
      <c r="Z656" s="6"/>
      <c r="AA656" s="19">
        <f t="shared" si="398"/>
        <v>958442</v>
      </c>
      <c r="AB656" s="19">
        <f t="shared" si="399"/>
        <v>1032836</v>
      </c>
      <c r="AC656" s="15">
        <f t="shared" si="401"/>
        <v>6808.41</v>
      </c>
      <c r="AD656" s="15">
        <f t="shared" si="402"/>
        <v>1032835.8</v>
      </c>
      <c r="AE656" s="25"/>
      <c r="AF656" s="157">
        <f t="shared" si="400"/>
        <v>-0.2</v>
      </c>
    </row>
    <row r="657" spans="1:32" s="4" customFormat="1" x14ac:dyDescent="0.25">
      <c r="A657" s="64" t="s">
        <v>694</v>
      </c>
      <c r="B657" s="55" t="s">
        <v>477</v>
      </c>
      <c r="C657" s="16" t="s">
        <v>67</v>
      </c>
      <c r="D657" s="47">
        <v>7</v>
      </c>
      <c r="E657" s="45">
        <f t="shared" si="391"/>
        <v>3221.71</v>
      </c>
      <c r="F657" s="45"/>
      <c r="G657" s="45"/>
      <c r="H657" s="44">
        <v>22552</v>
      </c>
      <c r="I657" s="15"/>
      <c r="J657" s="15"/>
      <c r="K657" s="15"/>
      <c r="L657" s="15"/>
      <c r="M657" s="44"/>
      <c r="N657" s="44"/>
      <c r="O657" s="44">
        <f t="shared" si="392"/>
        <v>205674</v>
      </c>
      <c r="P657" s="19">
        <f t="shared" si="393"/>
        <v>8433</v>
      </c>
      <c r="Q657" s="19">
        <f t="shared" si="394"/>
        <v>214107</v>
      </c>
      <c r="R657" s="6">
        <f t="shared" si="395"/>
        <v>1499</v>
      </c>
      <c r="S657" s="6"/>
      <c r="T657" s="6"/>
      <c r="U657" s="126">
        <f t="shared" si="396"/>
        <v>1044</v>
      </c>
      <c r="V657" s="126">
        <f t="shared" si="397"/>
        <v>240</v>
      </c>
      <c r="W657" s="6"/>
      <c r="X657" s="6"/>
      <c r="Y657" s="6"/>
      <c r="Z657" s="6"/>
      <c r="AA657" s="19">
        <f t="shared" si="398"/>
        <v>216890</v>
      </c>
      <c r="AB657" s="19">
        <f t="shared" si="399"/>
        <v>233725</v>
      </c>
      <c r="AC657" s="15">
        <f t="shared" si="401"/>
        <v>33389.29</v>
      </c>
      <c r="AD657" s="15">
        <f t="shared" si="402"/>
        <v>233725.03</v>
      </c>
      <c r="AE657" s="25"/>
      <c r="AF657" s="157">
        <f t="shared" si="400"/>
        <v>0.03</v>
      </c>
    </row>
    <row r="658" spans="1:32" s="4" customFormat="1" x14ac:dyDescent="0.25">
      <c r="A658" s="64" t="s">
        <v>695</v>
      </c>
      <c r="B658" s="55" t="s">
        <v>420</v>
      </c>
      <c r="C658" s="16" t="s">
        <v>67</v>
      </c>
      <c r="D658" s="47">
        <v>23</v>
      </c>
      <c r="E658" s="45">
        <f t="shared" si="391"/>
        <v>1907.22</v>
      </c>
      <c r="F658" s="45"/>
      <c r="G658" s="45"/>
      <c r="H658" s="44">
        <v>43866</v>
      </c>
      <c r="I658" s="15"/>
      <c r="J658" s="15"/>
      <c r="K658" s="15"/>
      <c r="L658" s="15"/>
      <c r="M658" s="44"/>
      <c r="N658" s="44"/>
      <c r="O658" s="44">
        <f t="shared" si="392"/>
        <v>400058</v>
      </c>
      <c r="P658" s="19">
        <f t="shared" si="393"/>
        <v>16402</v>
      </c>
      <c r="Q658" s="19">
        <f t="shared" si="394"/>
        <v>416460</v>
      </c>
      <c r="R658" s="6">
        <f t="shared" si="395"/>
        <v>2915</v>
      </c>
      <c r="S658" s="6"/>
      <c r="T658" s="6"/>
      <c r="U658" s="126">
        <f t="shared" si="396"/>
        <v>2031</v>
      </c>
      <c r="V658" s="126">
        <f t="shared" si="397"/>
        <v>466</v>
      </c>
      <c r="W658" s="6"/>
      <c r="X658" s="6"/>
      <c r="Y658" s="6"/>
      <c r="Z658" s="6"/>
      <c r="AA658" s="19">
        <f t="shared" si="398"/>
        <v>421872</v>
      </c>
      <c r="AB658" s="19">
        <f t="shared" si="399"/>
        <v>454618</v>
      </c>
      <c r="AC658" s="15">
        <f t="shared" si="401"/>
        <v>19766</v>
      </c>
      <c r="AD658" s="15">
        <f t="shared" si="402"/>
        <v>454618</v>
      </c>
      <c r="AE658" s="25"/>
      <c r="AF658" s="157">
        <f t="shared" si="400"/>
        <v>0</v>
      </c>
    </row>
    <row r="659" spans="1:32" s="43" customFormat="1" x14ac:dyDescent="0.25">
      <c r="A659" s="23" t="s">
        <v>696</v>
      </c>
      <c r="B659" s="17" t="s">
        <v>7</v>
      </c>
      <c r="C659" s="24"/>
      <c r="D659" s="13"/>
      <c r="E659" s="45"/>
      <c r="F659" s="45"/>
      <c r="G659" s="45"/>
      <c r="H659" s="44"/>
      <c r="I659" s="15"/>
      <c r="J659" s="15"/>
      <c r="K659" s="15"/>
      <c r="L659" s="15"/>
      <c r="M659" s="44"/>
      <c r="N659" s="44"/>
      <c r="O659" s="44"/>
      <c r="P659" s="19"/>
      <c r="Q659" s="19"/>
      <c r="R659" s="6"/>
      <c r="S659" s="6"/>
      <c r="T659" s="6"/>
      <c r="U659" s="126"/>
      <c r="V659" s="126"/>
      <c r="W659" s="6"/>
      <c r="X659" s="6"/>
      <c r="Y659" s="6"/>
      <c r="Z659" s="6"/>
      <c r="AA659" s="19"/>
      <c r="AB659" s="19"/>
      <c r="AC659" s="15"/>
      <c r="AD659" s="15"/>
      <c r="AE659" s="25"/>
      <c r="AF659" s="157">
        <f t="shared" si="400"/>
        <v>0</v>
      </c>
    </row>
    <row r="660" spans="1:32" s="43" customFormat="1" ht="25.5" x14ac:dyDescent="0.25">
      <c r="A660" s="23" t="s">
        <v>697</v>
      </c>
      <c r="B660" s="17" t="s">
        <v>130</v>
      </c>
      <c r="C660" s="24"/>
      <c r="D660" s="13"/>
      <c r="E660" s="45"/>
      <c r="F660" s="45"/>
      <c r="G660" s="45"/>
      <c r="H660" s="44"/>
      <c r="I660" s="15"/>
      <c r="J660" s="15"/>
      <c r="K660" s="15"/>
      <c r="L660" s="15"/>
      <c r="M660" s="44"/>
      <c r="N660" s="44"/>
      <c r="O660" s="44"/>
      <c r="P660" s="19"/>
      <c r="Q660" s="19"/>
      <c r="R660" s="6"/>
      <c r="S660" s="6"/>
      <c r="T660" s="6"/>
      <c r="U660" s="126"/>
      <c r="V660" s="126"/>
      <c r="W660" s="6"/>
      <c r="X660" s="6"/>
      <c r="Y660" s="6"/>
      <c r="Z660" s="6"/>
      <c r="AA660" s="19"/>
      <c r="AB660" s="19"/>
      <c r="AC660" s="15"/>
      <c r="AD660" s="15"/>
      <c r="AE660" s="25"/>
      <c r="AF660" s="157">
        <f t="shared" si="400"/>
        <v>0</v>
      </c>
    </row>
    <row r="661" spans="1:32" s="4" customFormat="1" x14ac:dyDescent="0.25">
      <c r="A661" s="64" t="s">
        <v>698</v>
      </c>
      <c r="B661" s="55" t="s">
        <v>422</v>
      </c>
      <c r="C661" s="16" t="s">
        <v>70</v>
      </c>
      <c r="D661" s="47">
        <f>1554.1+155.4</f>
        <v>1709.5</v>
      </c>
      <c r="E661" s="45">
        <f t="shared" si="391"/>
        <v>100.37</v>
      </c>
      <c r="F661" s="45"/>
      <c r="G661" s="45"/>
      <c r="H661" s="44">
        <v>171580</v>
      </c>
      <c r="I661" s="15"/>
      <c r="J661" s="15"/>
      <c r="K661" s="15"/>
      <c r="L661" s="15"/>
      <c r="M661" s="44"/>
      <c r="N661" s="44"/>
      <c r="O661" s="44">
        <f t="shared" si="392"/>
        <v>1564810</v>
      </c>
      <c r="P661" s="19">
        <f t="shared" si="393"/>
        <v>64157</v>
      </c>
      <c r="Q661" s="19">
        <f t="shared" si="394"/>
        <v>1628967</v>
      </c>
      <c r="R661" s="6">
        <f t="shared" si="395"/>
        <v>11403</v>
      </c>
      <c r="S661" s="6"/>
      <c r="T661" s="6"/>
      <c r="U661" s="126">
        <f t="shared" si="396"/>
        <v>7945</v>
      </c>
      <c r="V661" s="126">
        <f t="shared" si="397"/>
        <v>1824</v>
      </c>
      <c r="W661" s="6"/>
      <c r="X661" s="6"/>
      <c r="Y661" s="6"/>
      <c r="Z661" s="6"/>
      <c r="AA661" s="19">
        <f t="shared" si="398"/>
        <v>1650139</v>
      </c>
      <c r="AB661" s="19">
        <f t="shared" si="399"/>
        <v>1778223</v>
      </c>
      <c r="AC661" s="15">
        <f t="shared" ref="AC661:AC668" si="403">AB661/D661</f>
        <v>1040.2</v>
      </c>
      <c r="AD661" s="15">
        <f t="shared" ref="AD661:AD668" si="404">AC661*D661</f>
        <v>1778221.9</v>
      </c>
      <c r="AE661" s="25"/>
      <c r="AF661" s="157">
        <f t="shared" si="400"/>
        <v>-1.1000000000000001</v>
      </c>
    </row>
    <row r="662" spans="1:32" s="4" customFormat="1" x14ac:dyDescent="0.25">
      <c r="A662" s="64" t="s">
        <v>699</v>
      </c>
      <c r="B662" s="55" t="s">
        <v>496</v>
      </c>
      <c r="C662" s="16" t="s">
        <v>468</v>
      </c>
      <c r="D662" s="47">
        <v>123.2</v>
      </c>
      <c r="E662" s="45">
        <f t="shared" si="391"/>
        <v>6428.77</v>
      </c>
      <c r="F662" s="45"/>
      <c r="G662" s="45"/>
      <c r="H662" s="44">
        <v>792025</v>
      </c>
      <c r="I662" s="15"/>
      <c r="J662" s="15"/>
      <c r="K662" s="15"/>
      <c r="L662" s="15"/>
      <c r="M662" s="44"/>
      <c r="N662" s="44"/>
      <c r="O662" s="44">
        <f t="shared" si="392"/>
        <v>7223268</v>
      </c>
      <c r="P662" s="19">
        <f t="shared" si="393"/>
        <v>296154</v>
      </c>
      <c r="Q662" s="19">
        <f t="shared" si="394"/>
        <v>7519422</v>
      </c>
      <c r="R662" s="6">
        <f t="shared" si="395"/>
        <v>52636</v>
      </c>
      <c r="S662" s="6"/>
      <c r="T662" s="6"/>
      <c r="U662" s="126">
        <f t="shared" si="396"/>
        <v>36676</v>
      </c>
      <c r="V662" s="126">
        <f t="shared" si="397"/>
        <v>8418</v>
      </c>
      <c r="W662" s="6"/>
      <c r="X662" s="6"/>
      <c r="Y662" s="6"/>
      <c r="Z662" s="6"/>
      <c r="AA662" s="19">
        <f t="shared" si="398"/>
        <v>7617152</v>
      </c>
      <c r="AB662" s="19">
        <f t="shared" si="399"/>
        <v>8208395</v>
      </c>
      <c r="AC662" s="15">
        <f t="shared" si="403"/>
        <v>66626.58</v>
      </c>
      <c r="AD662" s="15">
        <f t="shared" si="404"/>
        <v>8208394.6600000001</v>
      </c>
      <c r="AE662" s="25"/>
      <c r="AF662" s="157">
        <f t="shared" si="400"/>
        <v>-0.34</v>
      </c>
    </row>
    <row r="663" spans="1:32" s="4" customFormat="1" x14ac:dyDescent="0.25">
      <c r="A663" s="64" t="s">
        <v>700</v>
      </c>
      <c r="B663" s="55" t="s">
        <v>132</v>
      </c>
      <c r="C663" s="16" t="s">
        <v>70</v>
      </c>
      <c r="D663" s="47">
        <v>4.4000000000000004</v>
      </c>
      <c r="E663" s="45">
        <f t="shared" si="391"/>
        <v>5445.45</v>
      </c>
      <c r="F663" s="45"/>
      <c r="G663" s="45"/>
      <c r="H663" s="44">
        <v>23960</v>
      </c>
      <c r="I663" s="15"/>
      <c r="J663" s="15"/>
      <c r="K663" s="15"/>
      <c r="L663" s="15"/>
      <c r="M663" s="44"/>
      <c r="N663" s="44"/>
      <c r="O663" s="44">
        <f t="shared" si="392"/>
        <v>218515</v>
      </c>
      <c r="P663" s="19">
        <f t="shared" si="393"/>
        <v>8959</v>
      </c>
      <c r="Q663" s="19">
        <f t="shared" si="394"/>
        <v>227474</v>
      </c>
      <c r="R663" s="6">
        <f t="shared" si="395"/>
        <v>1592</v>
      </c>
      <c r="S663" s="6"/>
      <c r="T663" s="6"/>
      <c r="U663" s="126">
        <f t="shared" si="396"/>
        <v>1109</v>
      </c>
      <c r="V663" s="126">
        <f t="shared" si="397"/>
        <v>255</v>
      </c>
      <c r="W663" s="6"/>
      <c r="X663" s="6"/>
      <c r="Y663" s="6"/>
      <c r="Z663" s="6"/>
      <c r="AA663" s="19">
        <f t="shared" si="398"/>
        <v>230430</v>
      </c>
      <c r="AB663" s="19">
        <f t="shared" si="399"/>
        <v>248316</v>
      </c>
      <c r="AC663" s="15">
        <f t="shared" si="403"/>
        <v>56435.45</v>
      </c>
      <c r="AD663" s="15">
        <f t="shared" si="404"/>
        <v>248315.98</v>
      </c>
      <c r="AE663" s="25"/>
      <c r="AF663" s="157">
        <f t="shared" si="400"/>
        <v>-0.02</v>
      </c>
    </row>
    <row r="664" spans="1:32" s="4" customFormat="1" ht="25.5" x14ac:dyDescent="0.25">
      <c r="A664" s="64" t="s">
        <v>701</v>
      </c>
      <c r="B664" s="55" t="s">
        <v>501</v>
      </c>
      <c r="C664" s="16" t="s">
        <v>72</v>
      </c>
      <c r="D664" s="47">
        <f>67.5+39+22</f>
        <v>128.5</v>
      </c>
      <c r="E664" s="45">
        <f t="shared" si="391"/>
        <v>171.79</v>
      </c>
      <c r="F664" s="45"/>
      <c r="G664" s="45"/>
      <c r="H664" s="44">
        <v>22075</v>
      </c>
      <c r="I664" s="15"/>
      <c r="J664" s="15"/>
      <c r="K664" s="15"/>
      <c r="L664" s="15"/>
      <c r="M664" s="44"/>
      <c r="N664" s="44"/>
      <c r="O664" s="44">
        <f t="shared" si="392"/>
        <v>201324</v>
      </c>
      <c r="P664" s="19">
        <f t="shared" si="393"/>
        <v>8254</v>
      </c>
      <c r="Q664" s="19">
        <f t="shared" si="394"/>
        <v>209578</v>
      </c>
      <c r="R664" s="6">
        <f t="shared" si="395"/>
        <v>1467</v>
      </c>
      <c r="S664" s="6"/>
      <c r="T664" s="6"/>
      <c r="U664" s="126">
        <f t="shared" si="396"/>
        <v>1022</v>
      </c>
      <c r="V664" s="126">
        <f t="shared" si="397"/>
        <v>235</v>
      </c>
      <c r="W664" s="6"/>
      <c r="X664" s="6"/>
      <c r="Y664" s="6"/>
      <c r="Z664" s="6"/>
      <c r="AA664" s="19">
        <f t="shared" si="398"/>
        <v>212302</v>
      </c>
      <c r="AB664" s="19">
        <f t="shared" si="399"/>
        <v>228781</v>
      </c>
      <c r="AC664" s="15">
        <f t="shared" si="403"/>
        <v>1780.4</v>
      </c>
      <c r="AD664" s="15">
        <f t="shared" si="404"/>
        <v>228781.4</v>
      </c>
      <c r="AE664" s="25"/>
      <c r="AF664" s="157">
        <f t="shared" si="400"/>
        <v>0.4</v>
      </c>
    </row>
    <row r="665" spans="1:32" s="4" customFormat="1" ht="25.5" x14ac:dyDescent="0.25">
      <c r="A665" s="64" t="s">
        <v>702</v>
      </c>
      <c r="B665" s="55" t="s">
        <v>503</v>
      </c>
      <c r="C665" s="16" t="s">
        <v>72</v>
      </c>
      <c r="D665" s="47">
        <v>46.7</v>
      </c>
      <c r="E665" s="45">
        <f t="shared" si="391"/>
        <v>191.95</v>
      </c>
      <c r="F665" s="45"/>
      <c r="G665" s="45"/>
      <c r="H665" s="44">
        <v>8964</v>
      </c>
      <c r="I665" s="15"/>
      <c r="J665" s="15"/>
      <c r="K665" s="15"/>
      <c r="L665" s="15"/>
      <c r="M665" s="44"/>
      <c r="N665" s="44"/>
      <c r="O665" s="44">
        <f t="shared" si="392"/>
        <v>81752</v>
      </c>
      <c r="P665" s="19">
        <f t="shared" si="393"/>
        <v>3352</v>
      </c>
      <c r="Q665" s="19">
        <f t="shared" si="394"/>
        <v>85104</v>
      </c>
      <c r="R665" s="6">
        <f t="shared" si="395"/>
        <v>596</v>
      </c>
      <c r="S665" s="6"/>
      <c r="T665" s="6"/>
      <c r="U665" s="126">
        <f t="shared" si="396"/>
        <v>415</v>
      </c>
      <c r="V665" s="126">
        <f t="shared" si="397"/>
        <v>95</v>
      </c>
      <c r="W665" s="6"/>
      <c r="X665" s="6"/>
      <c r="Y665" s="6"/>
      <c r="Z665" s="6"/>
      <c r="AA665" s="19">
        <f t="shared" si="398"/>
        <v>86210</v>
      </c>
      <c r="AB665" s="19">
        <f t="shared" si="399"/>
        <v>92902</v>
      </c>
      <c r="AC665" s="15">
        <f t="shared" si="403"/>
        <v>1989.34</v>
      </c>
      <c r="AD665" s="15">
        <f t="shared" si="404"/>
        <v>92902.18</v>
      </c>
      <c r="AE665" s="25"/>
      <c r="AF665" s="157">
        <f t="shared" si="400"/>
        <v>0.18</v>
      </c>
    </row>
    <row r="666" spans="1:32" s="4" customFormat="1" x14ac:dyDescent="0.25">
      <c r="A666" s="64" t="s">
        <v>703</v>
      </c>
      <c r="B666" s="55" t="s">
        <v>505</v>
      </c>
      <c r="C666" s="16" t="s">
        <v>70</v>
      </c>
      <c r="D666" s="47">
        <f>4.5+3</f>
        <v>7.5</v>
      </c>
      <c r="E666" s="45">
        <f t="shared" si="391"/>
        <v>1148.53</v>
      </c>
      <c r="F666" s="45"/>
      <c r="G666" s="45"/>
      <c r="H666" s="44">
        <v>8614</v>
      </c>
      <c r="I666" s="15"/>
      <c r="J666" s="15"/>
      <c r="K666" s="15"/>
      <c r="L666" s="15"/>
      <c r="M666" s="44"/>
      <c r="N666" s="44"/>
      <c r="O666" s="44">
        <f t="shared" si="392"/>
        <v>78560</v>
      </c>
      <c r="P666" s="19">
        <f t="shared" si="393"/>
        <v>3221</v>
      </c>
      <c r="Q666" s="19">
        <f t="shared" si="394"/>
        <v>81781</v>
      </c>
      <c r="R666" s="6">
        <f t="shared" si="395"/>
        <v>572</v>
      </c>
      <c r="S666" s="6"/>
      <c r="T666" s="6"/>
      <c r="U666" s="126">
        <f t="shared" si="396"/>
        <v>399</v>
      </c>
      <c r="V666" s="126">
        <f t="shared" si="397"/>
        <v>92</v>
      </c>
      <c r="W666" s="6"/>
      <c r="X666" s="6"/>
      <c r="Y666" s="6"/>
      <c r="Z666" s="6"/>
      <c r="AA666" s="19">
        <f t="shared" si="398"/>
        <v>82844</v>
      </c>
      <c r="AB666" s="19">
        <f t="shared" si="399"/>
        <v>89274</v>
      </c>
      <c r="AC666" s="15">
        <f t="shared" si="403"/>
        <v>11903.2</v>
      </c>
      <c r="AD666" s="15">
        <f t="shared" si="404"/>
        <v>89274</v>
      </c>
      <c r="AE666" s="25"/>
      <c r="AF666" s="157">
        <f t="shared" si="400"/>
        <v>0</v>
      </c>
    </row>
    <row r="667" spans="1:32" s="4" customFormat="1" x14ac:dyDescent="0.25">
      <c r="A667" s="64" t="s">
        <v>704</v>
      </c>
      <c r="B667" s="55" t="s">
        <v>507</v>
      </c>
      <c r="C667" s="16" t="s">
        <v>72</v>
      </c>
      <c r="D667" s="47">
        <v>48</v>
      </c>
      <c r="E667" s="45">
        <f t="shared" si="391"/>
        <v>184.6</v>
      </c>
      <c r="F667" s="45"/>
      <c r="G667" s="45"/>
      <c r="H667" s="44">
        <v>8861</v>
      </c>
      <c r="I667" s="15"/>
      <c r="J667" s="15"/>
      <c r="K667" s="15"/>
      <c r="L667" s="15"/>
      <c r="M667" s="44"/>
      <c r="N667" s="44"/>
      <c r="O667" s="44">
        <f t="shared" si="392"/>
        <v>80812</v>
      </c>
      <c r="P667" s="19">
        <f t="shared" si="393"/>
        <v>3313</v>
      </c>
      <c r="Q667" s="19">
        <f t="shared" si="394"/>
        <v>84125</v>
      </c>
      <c r="R667" s="6">
        <f t="shared" si="395"/>
        <v>589</v>
      </c>
      <c r="S667" s="6"/>
      <c r="T667" s="6"/>
      <c r="U667" s="126">
        <f t="shared" si="396"/>
        <v>410</v>
      </c>
      <c r="V667" s="126">
        <f t="shared" si="397"/>
        <v>94</v>
      </c>
      <c r="W667" s="6"/>
      <c r="X667" s="6"/>
      <c r="Y667" s="6"/>
      <c r="Z667" s="6"/>
      <c r="AA667" s="19">
        <f t="shared" si="398"/>
        <v>85218</v>
      </c>
      <c r="AB667" s="19">
        <f t="shared" si="399"/>
        <v>91833</v>
      </c>
      <c r="AC667" s="15">
        <f t="shared" si="403"/>
        <v>1913.19</v>
      </c>
      <c r="AD667" s="15">
        <f t="shared" si="404"/>
        <v>91833.12</v>
      </c>
      <c r="AE667" s="25"/>
      <c r="AF667" s="157">
        <f t="shared" si="400"/>
        <v>0.12</v>
      </c>
    </row>
    <row r="668" spans="1:32" s="4" customFormat="1" x14ac:dyDescent="0.25">
      <c r="A668" s="64" t="s">
        <v>705</v>
      </c>
      <c r="B668" s="55" t="s">
        <v>509</v>
      </c>
      <c r="C668" s="16" t="s">
        <v>70</v>
      </c>
      <c r="D668" s="47">
        <v>6.3</v>
      </c>
      <c r="E668" s="45">
        <f t="shared" si="391"/>
        <v>290</v>
      </c>
      <c r="F668" s="45"/>
      <c r="G668" s="45"/>
      <c r="H668" s="44">
        <v>1827</v>
      </c>
      <c r="I668" s="15"/>
      <c r="J668" s="15"/>
      <c r="K668" s="15"/>
      <c r="L668" s="15"/>
      <c r="M668" s="44"/>
      <c r="N668" s="44"/>
      <c r="O668" s="44">
        <f t="shared" si="392"/>
        <v>16662</v>
      </c>
      <c r="P668" s="19">
        <f t="shared" si="393"/>
        <v>683</v>
      </c>
      <c r="Q668" s="19">
        <f t="shared" si="394"/>
        <v>17345</v>
      </c>
      <c r="R668" s="6">
        <f t="shared" si="395"/>
        <v>121</v>
      </c>
      <c r="S668" s="6"/>
      <c r="T668" s="6"/>
      <c r="U668" s="126">
        <f t="shared" si="396"/>
        <v>85</v>
      </c>
      <c r="V668" s="126">
        <f t="shared" si="397"/>
        <v>19</v>
      </c>
      <c r="W668" s="6"/>
      <c r="X668" s="6"/>
      <c r="Y668" s="6"/>
      <c r="Z668" s="6"/>
      <c r="AA668" s="19">
        <f t="shared" si="398"/>
        <v>17570</v>
      </c>
      <c r="AB668" s="19">
        <f t="shared" si="399"/>
        <v>18934</v>
      </c>
      <c r="AC668" s="15">
        <f t="shared" si="403"/>
        <v>3005.4</v>
      </c>
      <c r="AD668" s="15">
        <f t="shared" si="404"/>
        <v>18934.02</v>
      </c>
      <c r="AE668" s="25"/>
      <c r="AF668" s="157">
        <f t="shared" si="400"/>
        <v>0.02</v>
      </c>
    </row>
    <row r="669" spans="1:32" s="43" customFormat="1" x14ac:dyDescent="0.25">
      <c r="A669" s="23" t="s">
        <v>706</v>
      </c>
      <c r="B669" s="17" t="s">
        <v>491</v>
      </c>
      <c r="C669" s="24"/>
      <c r="D669" s="13"/>
      <c r="E669" s="45"/>
      <c r="F669" s="45"/>
      <c r="G669" s="45"/>
      <c r="H669" s="44"/>
      <c r="I669" s="15"/>
      <c r="J669" s="15"/>
      <c r="K669" s="15"/>
      <c r="L669" s="15"/>
      <c r="M669" s="44"/>
      <c r="N669" s="44"/>
      <c r="O669" s="44"/>
      <c r="P669" s="19"/>
      <c r="Q669" s="19"/>
      <c r="R669" s="6"/>
      <c r="S669" s="6"/>
      <c r="T669" s="6"/>
      <c r="U669" s="126"/>
      <c r="V669" s="126"/>
      <c r="W669" s="6"/>
      <c r="X669" s="6"/>
      <c r="Y669" s="6"/>
      <c r="Z669" s="6"/>
      <c r="AA669" s="19"/>
      <c r="AB669" s="19"/>
      <c r="AC669" s="15"/>
      <c r="AD669" s="15"/>
      <c r="AE669" s="25"/>
      <c r="AF669" s="157">
        <f t="shared" si="400"/>
        <v>0</v>
      </c>
    </row>
    <row r="670" spans="1:32" s="4" customFormat="1" x14ac:dyDescent="0.25">
      <c r="A670" s="64" t="s">
        <v>707</v>
      </c>
      <c r="B670" s="55" t="s">
        <v>491</v>
      </c>
      <c r="C670" s="16" t="s">
        <v>311</v>
      </c>
      <c r="D670" s="47">
        <v>5.5</v>
      </c>
      <c r="E670" s="45">
        <f t="shared" si="391"/>
        <v>51362.18</v>
      </c>
      <c r="F670" s="45"/>
      <c r="G670" s="45"/>
      <c r="H670" s="44">
        <v>282492</v>
      </c>
      <c r="I670" s="15"/>
      <c r="J670" s="15"/>
      <c r="K670" s="15"/>
      <c r="L670" s="15"/>
      <c r="M670" s="44"/>
      <c r="N670" s="44"/>
      <c r="O670" s="44">
        <f t="shared" si="392"/>
        <v>2576327</v>
      </c>
      <c r="P670" s="19">
        <f t="shared" si="393"/>
        <v>105629</v>
      </c>
      <c r="Q670" s="19">
        <f t="shared" si="394"/>
        <v>2681956</v>
      </c>
      <c r="R670" s="6">
        <f t="shared" si="395"/>
        <v>18774</v>
      </c>
      <c r="S670" s="6"/>
      <c r="T670" s="6"/>
      <c r="U670" s="126">
        <f t="shared" si="396"/>
        <v>13081</v>
      </c>
      <c r="V670" s="126">
        <f t="shared" si="397"/>
        <v>3002</v>
      </c>
      <c r="W670" s="6"/>
      <c r="X670" s="6"/>
      <c r="Y670" s="6"/>
      <c r="Z670" s="6"/>
      <c r="AA670" s="19">
        <f t="shared" si="398"/>
        <v>2716813</v>
      </c>
      <c r="AB670" s="19">
        <f t="shared" si="399"/>
        <v>2927692</v>
      </c>
      <c r="AC670" s="15">
        <f>AB670/D670</f>
        <v>532307.64</v>
      </c>
      <c r="AD670" s="15">
        <f>AC670*D670</f>
        <v>2927692.02</v>
      </c>
      <c r="AE670" s="25"/>
      <c r="AF670" s="157">
        <f t="shared" si="400"/>
        <v>0.02</v>
      </c>
    </row>
    <row r="671" spans="1:32" s="51" customFormat="1" ht="25.5" x14ac:dyDescent="0.25">
      <c r="A671" s="109" t="s">
        <v>162</v>
      </c>
      <c r="B671" s="56" t="s">
        <v>248</v>
      </c>
      <c r="C671" s="92"/>
      <c r="D671" s="93"/>
      <c r="E671" s="94"/>
      <c r="F671" s="94"/>
      <c r="G671" s="94"/>
      <c r="H671" s="111">
        <v>1204550</v>
      </c>
      <c r="I671" s="20"/>
      <c r="J671" s="20">
        <f>1204.55*1000</f>
        <v>1204550</v>
      </c>
      <c r="K671" s="20" t="s">
        <v>20</v>
      </c>
      <c r="L671" s="20">
        <f>H671-J671</f>
        <v>0</v>
      </c>
      <c r="M671" s="95">
        <v>10985520</v>
      </c>
      <c r="N671" s="50">
        <f>SUM(O673:O687)-M671</f>
        <v>-6</v>
      </c>
      <c r="O671" s="95"/>
      <c r="P671" s="50"/>
      <c r="Q671" s="50"/>
      <c r="R671" s="50"/>
      <c r="S671" s="30"/>
      <c r="T671" s="30"/>
      <c r="U671" s="126"/>
      <c r="V671" s="126"/>
      <c r="W671" s="50"/>
      <c r="X671" s="30"/>
      <c r="Y671" s="30"/>
      <c r="Z671" s="30"/>
      <c r="AA671" s="50"/>
      <c r="AB671" s="50"/>
      <c r="AC671" s="20"/>
      <c r="AD671" s="20"/>
      <c r="AE671" s="97"/>
      <c r="AF671" s="157">
        <f t="shared" si="400"/>
        <v>0</v>
      </c>
    </row>
    <row r="672" spans="1:32" s="43" customFormat="1" x14ac:dyDescent="0.25">
      <c r="A672" s="49" t="s">
        <v>163</v>
      </c>
      <c r="B672" s="11" t="s">
        <v>149</v>
      </c>
      <c r="C672" s="46"/>
      <c r="D672" s="13"/>
      <c r="E672" s="14"/>
      <c r="F672" s="14"/>
      <c r="G672" s="14"/>
      <c r="H672" s="48"/>
      <c r="I672" s="15"/>
      <c r="J672" s="15"/>
      <c r="K672" s="15"/>
      <c r="L672" s="15"/>
      <c r="M672" s="22"/>
      <c r="N672" s="22"/>
      <c r="O672" s="22"/>
      <c r="P672" s="19"/>
      <c r="Q672" s="19"/>
      <c r="R672" s="6"/>
      <c r="S672" s="6"/>
      <c r="T672" s="6"/>
      <c r="U672" s="126"/>
      <c r="V672" s="126"/>
      <c r="W672" s="6"/>
      <c r="X672" s="6"/>
      <c r="Y672" s="6"/>
      <c r="Z672" s="6"/>
      <c r="AA672" s="19"/>
      <c r="AB672" s="19"/>
      <c r="AC672" s="15"/>
      <c r="AD672" s="15"/>
      <c r="AE672" s="25"/>
      <c r="AF672" s="157">
        <f t="shared" si="400"/>
        <v>0</v>
      </c>
    </row>
    <row r="673" spans="1:32" s="43" customFormat="1" x14ac:dyDescent="0.25">
      <c r="A673" s="70" t="s">
        <v>164</v>
      </c>
      <c r="B673" s="55" t="s">
        <v>422</v>
      </c>
      <c r="C673" s="46" t="s">
        <v>70</v>
      </c>
      <c r="D673" s="13">
        <f>214+16+400+12+165+5</f>
        <v>812</v>
      </c>
      <c r="E673" s="14">
        <f>H673/D673</f>
        <v>103.12</v>
      </c>
      <c r="F673" s="14"/>
      <c r="G673" s="14"/>
      <c r="H673" s="137">
        <v>83732</v>
      </c>
      <c r="I673" s="15"/>
      <c r="J673" s="15"/>
      <c r="K673" s="15"/>
      <c r="L673" s="15"/>
      <c r="M673" s="22"/>
      <c r="N673" s="22"/>
      <c r="O673" s="22">
        <f>H673*9.12</f>
        <v>763636</v>
      </c>
      <c r="P673" s="19">
        <f>O673*4.1%</f>
        <v>31309</v>
      </c>
      <c r="Q673" s="19">
        <f>SUM(O673:P673)</f>
        <v>794945</v>
      </c>
      <c r="R673" s="6">
        <f>Q673*0.7%</f>
        <v>5565</v>
      </c>
      <c r="S673" s="6"/>
      <c r="T673" s="6"/>
      <c r="U673" s="126">
        <f>Q673*$U$4</f>
        <v>3877</v>
      </c>
      <c r="V673" s="126">
        <f>Q673*$V$4</f>
        <v>890</v>
      </c>
      <c r="W673" s="6"/>
      <c r="X673" s="6"/>
      <c r="Y673" s="6"/>
      <c r="Z673" s="6"/>
      <c r="AA673" s="19">
        <f>SUM(Q673:Z673)</f>
        <v>805277</v>
      </c>
      <c r="AB673" s="19">
        <f>$AA673*AB$7</f>
        <v>867783</v>
      </c>
      <c r="AC673" s="15">
        <f>AB673/D673</f>
        <v>1068.7</v>
      </c>
      <c r="AD673" s="15">
        <f>AC673*D673</f>
        <v>867784.4</v>
      </c>
      <c r="AE673" s="25"/>
      <c r="AF673" s="157">
        <f t="shared" si="400"/>
        <v>1.4</v>
      </c>
    </row>
    <row r="674" spans="1:32" s="43" customFormat="1" x14ac:dyDescent="0.25">
      <c r="A674" s="70" t="s">
        <v>708</v>
      </c>
      <c r="B674" s="55" t="s">
        <v>392</v>
      </c>
      <c r="C674" s="46" t="s">
        <v>70</v>
      </c>
      <c r="D674" s="13">
        <f>905</f>
        <v>905</v>
      </c>
      <c r="E674" s="14">
        <f t="shared" ref="E674:E687" si="405">H674/D674</f>
        <v>165.97</v>
      </c>
      <c r="F674" s="14"/>
      <c r="G674" s="14"/>
      <c r="H674" s="137">
        <v>150199</v>
      </c>
      <c r="I674" s="15"/>
      <c r="J674" s="15"/>
      <c r="K674" s="15"/>
      <c r="L674" s="15"/>
      <c r="M674" s="22"/>
      <c r="N674" s="22"/>
      <c r="O674" s="22">
        <f t="shared" ref="O674:O687" si="406">H674*9.12</f>
        <v>1369815</v>
      </c>
      <c r="P674" s="19">
        <f t="shared" ref="P674:P687" si="407">O674*4.1%</f>
        <v>56162</v>
      </c>
      <c r="Q674" s="19">
        <f t="shared" ref="Q674:Q687" si="408">SUM(O674:P674)</f>
        <v>1425977</v>
      </c>
      <c r="R674" s="6">
        <f t="shared" ref="R674:R687" si="409">Q674*0.7%</f>
        <v>9982</v>
      </c>
      <c r="S674" s="6"/>
      <c r="T674" s="6"/>
      <c r="U674" s="126">
        <f t="shared" ref="U674:U687" si="410">Q674*$U$4</f>
        <v>6955</v>
      </c>
      <c r="V674" s="126">
        <f t="shared" ref="V674:V687" si="411">Q674*$V$4</f>
        <v>1596</v>
      </c>
      <c r="W674" s="6"/>
      <c r="X674" s="6"/>
      <c r="Y674" s="6"/>
      <c r="Z674" s="6"/>
      <c r="AA674" s="19">
        <f t="shared" ref="AA674:AA687" si="412">SUM(Q674:Z674)</f>
        <v>1444510</v>
      </c>
      <c r="AB674" s="19">
        <f t="shared" ref="AB674:AB687" si="413">$AA674*AB$7</f>
        <v>1556633</v>
      </c>
      <c r="AC674" s="15">
        <f>AB674/D674</f>
        <v>1720.04</v>
      </c>
      <c r="AD674" s="15">
        <f>AC674*D674</f>
        <v>1556636.2</v>
      </c>
      <c r="AE674" s="25"/>
      <c r="AF674" s="157">
        <f t="shared" si="400"/>
        <v>3.2</v>
      </c>
    </row>
    <row r="675" spans="1:32" s="43" customFormat="1" x14ac:dyDescent="0.25">
      <c r="A675" s="70" t="s">
        <v>709</v>
      </c>
      <c r="B675" s="55" t="s">
        <v>395</v>
      </c>
      <c r="C675" s="46" t="s">
        <v>72</v>
      </c>
      <c r="D675" s="13">
        <v>768</v>
      </c>
      <c r="E675" s="14">
        <f t="shared" si="405"/>
        <v>25.3</v>
      </c>
      <c r="F675" s="14"/>
      <c r="G675" s="14"/>
      <c r="H675" s="137">
        <v>19430</v>
      </c>
      <c r="I675" s="15"/>
      <c r="J675" s="15"/>
      <c r="K675" s="15"/>
      <c r="L675" s="15"/>
      <c r="M675" s="22"/>
      <c r="N675" s="22"/>
      <c r="O675" s="22">
        <f t="shared" si="406"/>
        <v>177202</v>
      </c>
      <c r="P675" s="19">
        <f t="shared" si="407"/>
        <v>7265</v>
      </c>
      <c r="Q675" s="19">
        <f t="shared" si="408"/>
        <v>184467</v>
      </c>
      <c r="R675" s="6">
        <f t="shared" si="409"/>
        <v>1291</v>
      </c>
      <c r="S675" s="6"/>
      <c r="T675" s="6"/>
      <c r="U675" s="126">
        <f t="shared" si="410"/>
        <v>900</v>
      </c>
      <c r="V675" s="126">
        <f t="shared" si="411"/>
        <v>207</v>
      </c>
      <c r="W675" s="6"/>
      <c r="X675" s="6"/>
      <c r="Y675" s="6"/>
      <c r="Z675" s="6"/>
      <c r="AA675" s="19">
        <f t="shared" si="412"/>
        <v>186865</v>
      </c>
      <c r="AB675" s="19">
        <f t="shared" si="413"/>
        <v>201369</v>
      </c>
      <c r="AC675" s="15">
        <f>AB675/D675</f>
        <v>262.2</v>
      </c>
      <c r="AD675" s="15">
        <f>AC675*D675</f>
        <v>201369.60000000001</v>
      </c>
      <c r="AE675" s="25"/>
      <c r="AF675" s="157">
        <f t="shared" si="400"/>
        <v>0.6</v>
      </c>
    </row>
    <row r="676" spans="1:32" s="43" customFormat="1" x14ac:dyDescent="0.25">
      <c r="A676" s="70" t="s">
        <v>710</v>
      </c>
      <c r="B676" s="55" t="s">
        <v>397</v>
      </c>
      <c r="C676" s="46" t="s">
        <v>72</v>
      </c>
      <c r="D676" s="13">
        <f>1388+478</f>
        <v>1866</v>
      </c>
      <c r="E676" s="14">
        <f t="shared" si="405"/>
        <v>151.29</v>
      </c>
      <c r="F676" s="14"/>
      <c r="G676" s="14"/>
      <c r="H676" s="137">
        <v>282300</v>
      </c>
      <c r="I676" s="15"/>
      <c r="J676" s="15"/>
      <c r="K676" s="15"/>
      <c r="L676" s="15"/>
      <c r="M676" s="22"/>
      <c r="N676" s="22"/>
      <c r="O676" s="22">
        <f t="shared" si="406"/>
        <v>2574576</v>
      </c>
      <c r="P676" s="19">
        <f t="shared" si="407"/>
        <v>105558</v>
      </c>
      <c r="Q676" s="19">
        <f t="shared" si="408"/>
        <v>2680134</v>
      </c>
      <c r="R676" s="6">
        <f t="shared" si="409"/>
        <v>18761</v>
      </c>
      <c r="S676" s="6"/>
      <c r="T676" s="6"/>
      <c r="U676" s="126">
        <f t="shared" si="410"/>
        <v>13072</v>
      </c>
      <c r="V676" s="126">
        <f t="shared" si="411"/>
        <v>3000</v>
      </c>
      <c r="W676" s="6"/>
      <c r="X676" s="6"/>
      <c r="Y676" s="6"/>
      <c r="Z676" s="6"/>
      <c r="AA676" s="19">
        <f t="shared" si="412"/>
        <v>2714967</v>
      </c>
      <c r="AB676" s="19">
        <f t="shared" si="413"/>
        <v>2925703</v>
      </c>
      <c r="AC676" s="15">
        <f>AB676/D676</f>
        <v>1567.9</v>
      </c>
      <c r="AD676" s="15">
        <f>AC676*D676</f>
        <v>2925701.4</v>
      </c>
      <c r="AE676" s="25"/>
      <c r="AF676" s="157">
        <f t="shared" si="400"/>
        <v>-1.6</v>
      </c>
    </row>
    <row r="677" spans="1:32" s="43" customFormat="1" x14ac:dyDescent="0.25">
      <c r="A677" s="70" t="s">
        <v>711</v>
      </c>
      <c r="B677" s="55" t="s">
        <v>398</v>
      </c>
      <c r="C677" s="46" t="s">
        <v>72</v>
      </c>
      <c r="D677" s="13">
        <v>12</v>
      </c>
      <c r="E677" s="14">
        <f t="shared" si="405"/>
        <v>394.67</v>
      </c>
      <c r="F677" s="14"/>
      <c r="G677" s="14"/>
      <c r="H677" s="137">
        <v>4736</v>
      </c>
      <c r="I677" s="15"/>
      <c r="J677" s="15"/>
      <c r="K677" s="15"/>
      <c r="L677" s="15"/>
      <c r="M677" s="22"/>
      <c r="N677" s="22"/>
      <c r="O677" s="22">
        <f t="shared" si="406"/>
        <v>43192</v>
      </c>
      <c r="P677" s="19">
        <f t="shared" si="407"/>
        <v>1771</v>
      </c>
      <c r="Q677" s="19">
        <f t="shared" si="408"/>
        <v>44963</v>
      </c>
      <c r="R677" s="6">
        <f t="shared" si="409"/>
        <v>315</v>
      </c>
      <c r="S677" s="6"/>
      <c r="T677" s="6"/>
      <c r="U677" s="126">
        <f t="shared" si="410"/>
        <v>219</v>
      </c>
      <c r="V677" s="126">
        <f t="shared" si="411"/>
        <v>50</v>
      </c>
      <c r="W677" s="6"/>
      <c r="X677" s="6"/>
      <c r="Y677" s="6"/>
      <c r="Z677" s="6"/>
      <c r="AA677" s="19">
        <f t="shared" si="412"/>
        <v>45547</v>
      </c>
      <c r="AB677" s="19">
        <f t="shared" si="413"/>
        <v>49082</v>
      </c>
      <c r="AC677" s="15">
        <f>AB677/D677</f>
        <v>4090.17</v>
      </c>
      <c r="AD677" s="15">
        <f>AC677*D677</f>
        <v>49082.04</v>
      </c>
      <c r="AE677" s="25"/>
      <c r="AF677" s="157">
        <f t="shared" si="400"/>
        <v>0.04</v>
      </c>
    </row>
    <row r="678" spans="1:32" s="43" customFormat="1" x14ac:dyDescent="0.25">
      <c r="A678" s="49" t="s">
        <v>712</v>
      </c>
      <c r="B678" s="11" t="s">
        <v>436</v>
      </c>
      <c r="C678" s="46"/>
      <c r="D678" s="13"/>
      <c r="E678" s="14"/>
      <c r="F678" s="14"/>
      <c r="G678" s="14"/>
      <c r="H678" s="137"/>
      <c r="I678" s="15"/>
      <c r="J678" s="15"/>
      <c r="K678" s="15"/>
      <c r="L678" s="15"/>
      <c r="M678" s="22"/>
      <c r="N678" s="22"/>
      <c r="O678" s="22"/>
      <c r="P678" s="19"/>
      <c r="Q678" s="19"/>
      <c r="R678" s="6"/>
      <c r="S678" s="6"/>
      <c r="T678" s="6"/>
      <c r="U678" s="126"/>
      <c r="V678" s="126"/>
      <c r="W678" s="6"/>
      <c r="X678" s="6"/>
      <c r="Y678" s="6"/>
      <c r="Z678" s="6"/>
      <c r="AA678" s="19"/>
      <c r="AB678" s="19"/>
      <c r="AC678" s="15"/>
      <c r="AD678" s="15"/>
      <c r="AE678" s="25"/>
      <c r="AF678" s="157">
        <f t="shared" si="400"/>
        <v>0</v>
      </c>
    </row>
    <row r="679" spans="1:32" s="43" customFormat="1" ht="25.5" x14ac:dyDescent="0.25">
      <c r="A679" s="70" t="s">
        <v>713</v>
      </c>
      <c r="B679" s="55" t="s">
        <v>482</v>
      </c>
      <c r="C679" s="46" t="s">
        <v>72</v>
      </c>
      <c r="D679" s="13">
        <v>2543</v>
      </c>
      <c r="E679" s="14">
        <f t="shared" si="405"/>
        <v>127.75</v>
      </c>
      <c r="F679" s="14"/>
      <c r="G679" s="14"/>
      <c r="H679" s="137">
        <v>324870</v>
      </c>
      <c r="I679" s="15"/>
      <c r="J679" s="15"/>
      <c r="K679" s="15"/>
      <c r="L679" s="15"/>
      <c r="M679" s="22"/>
      <c r="N679" s="22"/>
      <c r="O679" s="22">
        <f t="shared" si="406"/>
        <v>2962814</v>
      </c>
      <c r="P679" s="19">
        <f t="shared" si="407"/>
        <v>121475</v>
      </c>
      <c r="Q679" s="19">
        <f t="shared" si="408"/>
        <v>3084289</v>
      </c>
      <c r="R679" s="6">
        <f t="shared" si="409"/>
        <v>21590</v>
      </c>
      <c r="S679" s="6"/>
      <c r="T679" s="6"/>
      <c r="U679" s="126">
        <f t="shared" si="410"/>
        <v>15043</v>
      </c>
      <c r="V679" s="126">
        <f t="shared" si="411"/>
        <v>3453</v>
      </c>
      <c r="W679" s="6"/>
      <c r="X679" s="6"/>
      <c r="Y679" s="6"/>
      <c r="Z679" s="6"/>
      <c r="AA679" s="19">
        <f t="shared" si="412"/>
        <v>3124375</v>
      </c>
      <c r="AB679" s="19">
        <f t="shared" si="413"/>
        <v>3366889</v>
      </c>
      <c r="AC679" s="15">
        <f>AB679/D679</f>
        <v>1323.98</v>
      </c>
      <c r="AD679" s="15">
        <f>AC679*D679</f>
        <v>3366881.14</v>
      </c>
      <c r="AE679" s="25"/>
      <c r="AF679" s="157">
        <f t="shared" si="400"/>
        <v>-7.86</v>
      </c>
    </row>
    <row r="680" spans="1:32" s="43" customFormat="1" x14ac:dyDescent="0.25">
      <c r="A680" s="70" t="s">
        <v>714</v>
      </c>
      <c r="B680" s="55" t="s">
        <v>715</v>
      </c>
      <c r="C680" s="46" t="s">
        <v>70</v>
      </c>
      <c r="D680" s="13">
        <v>115</v>
      </c>
      <c r="E680" s="14">
        <f t="shared" si="405"/>
        <v>329.63</v>
      </c>
      <c r="F680" s="14"/>
      <c r="G680" s="14"/>
      <c r="H680" s="137">
        <v>37908</v>
      </c>
      <c r="I680" s="15"/>
      <c r="J680" s="15"/>
      <c r="K680" s="15"/>
      <c r="L680" s="15"/>
      <c r="M680" s="22"/>
      <c r="N680" s="22"/>
      <c r="O680" s="22">
        <f t="shared" si="406"/>
        <v>345721</v>
      </c>
      <c r="P680" s="19">
        <f t="shared" si="407"/>
        <v>14175</v>
      </c>
      <c r="Q680" s="19">
        <f t="shared" si="408"/>
        <v>359896</v>
      </c>
      <c r="R680" s="6">
        <f t="shared" si="409"/>
        <v>2519</v>
      </c>
      <c r="S680" s="6"/>
      <c r="T680" s="6"/>
      <c r="U680" s="126">
        <f t="shared" si="410"/>
        <v>1755</v>
      </c>
      <c r="V680" s="126">
        <f t="shared" si="411"/>
        <v>403</v>
      </c>
      <c r="W680" s="6"/>
      <c r="X680" s="6"/>
      <c r="Y680" s="6"/>
      <c r="Z680" s="6"/>
      <c r="AA680" s="19">
        <f t="shared" si="412"/>
        <v>364573</v>
      </c>
      <c r="AB680" s="19">
        <f t="shared" si="413"/>
        <v>392871</v>
      </c>
      <c r="AC680" s="15">
        <f>AB680/D680</f>
        <v>3416.27</v>
      </c>
      <c r="AD680" s="15">
        <f>AC680*D680</f>
        <v>392871.05</v>
      </c>
      <c r="AE680" s="25"/>
      <c r="AF680" s="157">
        <f t="shared" si="400"/>
        <v>0.05</v>
      </c>
    </row>
    <row r="681" spans="1:32" s="43" customFormat="1" ht="25.5" x14ac:dyDescent="0.25">
      <c r="A681" s="70" t="s">
        <v>716</v>
      </c>
      <c r="B681" s="55" t="s">
        <v>717</v>
      </c>
      <c r="C681" s="46" t="s">
        <v>72</v>
      </c>
      <c r="D681" s="13">
        <v>1768</v>
      </c>
      <c r="E681" s="14">
        <f t="shared" si="405"/>
        <v>113.65</v>
      </c>
      <c r="F681" s="14"/>
      <c r="G681" s="14"/>
      <c r="H681" s="137">
        <v>200937</v>
      </c>
      <c r="I681" s="15"/>
      <c r="J681" s="15"/>
      <c r="K681" s="15"/>
      <c r="L681" s="15"/>
      <c r="M681" s="22"/>
      <c r="N681" s="22"/>
      <c r="O681" s="22">
        <f t="shared" si="406"/>
        <v>1832545</v>
      </c>
      <c r="P681" s="19">
        <f t="shared" si="407"/>
        <v>75134</v>
      </c>
      <c r="Q681" s="19">
        <f t="shared" si="408"/>
        <v>1907679</v>
      </c>
      <c r="R681" s="6">
        <f t="shared" si="409"/>
        <v>13354</v>
      </c>
      <c r="S681" s="6"/>
      <c r="T681" s="6"/>
      <c r="U681" s="126">
        <f t="shared" si="410"/>
        <v>9305</v>
      </c>
      <c r="V681" s="126">
        <f t="shared" si="411"/>
        <v>2136</v>
      </c>
      <c r="W681" s="6"/>
      <c r="X681" s="6"/>
      <c r="Y681" s="6"/>
      <c r="Z681" s="6"/>
      <c r="AA681" s="19">
        <f t="shared" si="412"/>
        <v>1932474</v>
      </c>
      <c r="AB681" s="19">
        <f t="shared" si="413"/>
        <v>2082473</v>
      </c>
      <c r="AC681" s="15">
        <f>AB681/D681</f>
        <v>1177.8699999999999</v>
      </c>
      <c r="AD681" s="15">
        <f>AC681*D681</f>
        <v>2082474.16</v>
      </c>
      <c r="AE681" s="25"/>
      <c r="AF681" s="157">
        <f t="shared" si="400"/>
        <v>1.1599999999999999</v>
      </c>
    </row>
    <row r="682" spans="1:32" s="43" customFormat="1" ht="25.5" x14ac:dyDescent="0.25">
      <c r="A682" s="70" t="s">
        <v>718</v>
      </c>
      <c r="B682" s="55" t="s">
        <v>719</v>
      </c>
      <c r="C682" s="46" t="s">
        <v>72</v>
      </c>
      <c r="D682" s="13">
        <v>623</v>
      </c>
      <c r="E682" s="14">
        <f t="shared" si="405"/>
        <v>51.8</v>
      </c>
      <c r="F682" s="14"/>
      <c r="G682" s="14"/>
      <c r="H682" s="137">
        <v>32272</v>
      </c>
      <c r="I682" s="15"/>
      <c r="J682" s="15"/>
      <c r="K682" s="15"/>
      <c r="L682" s="15"/>
      <c r="M682" s="22"/>
      <c r="N682" s="22"/>
      <c r="O682" s="22">
        <f t="shared" si="406"/>
        <v>294321</v>
      </c>
      <c r="P682" s="19">
        <f t="shared" si="407"/>
        <v>12067</v>
      </c>
      <c r="Q682" s="19">
        <f t="shared" si="408"/>
        <v>306388</v>
      </c>
      <c r="R682" s="6">
        <f t="shared" si="409"/>
        <v>2145</v>
      </c>
      <c r="S682" s="6"/>
      <c r="T682" s="6"/>
      <c r="U682" s="126">
        <f t="shared" si="410"/>
        <v>1494</v>
      </c>
      <c r="V682" s="126">
        <f t="shared" si="411"/>
        <v>343</v>
      </c>
      <c r="W682" s="6"/>
      <c r="X682" s="6"/>
      <c r="Y682" s="6"/>
      <c r="Z682" s="6"/>
      <c r="AA682" s="19">
        <f t="shared" si="412"/>
        <v>310370</v>
      </c>
      <c r="AB682" s="19">
        <f t="shared" si="413"/>
        <v>334461</v>
      </c>
      <c r="AC682" s="15">
        <f>AB682/D682</f>
        <v>536.86</v>
      </c>
      <c r="AD682" s="15">
        <f>AC682*D682</f>
        <v>334463.78000000003</v>
      </c>
      <c r="AE682" s="25"/>
      <c r="AF682" s="157">
        <f t="shared" si="400"/>
        <v>2.78</v>
      </c>
    </row>
    <row r="683" spans="1:32" s="43" customFormat="1" x14ac:dyDescent="0.25">
      <c r="A683" s="49" t="s">
        <v>720</v>
      </c>
      <c r="B683" s="11" t="s">
        <v>721</v>
      </c>
      <c r="C683" s="46"/>
      <c r="D683" s="13"/>
      <c r="E683" s="14"/>
      <c r="F683" s="14"/>
      <c r="G683" s="14"/>
      <c r="H683" s="137"/>
      <c r="I683" s="15"/>
      <c r="J683" s="15"/>
      <c r="K683" s="15"/>
      <c r="L683" s="15"/>
      <c r="M683" s="22"/>
      <c r="N683" s="22"/>
      <c r="O683" s="22"/>
      <c r="P683" s="19"/>
      <c r="Q683" s="19"/>
      <c r="R683" s="6"/>
      <c r="S683" s="6"/>
      <c r="T683" s="6"/>
      <c r="U683" s="126"/>
      <c r="V683" s="126"/>
      <c r="W683" s="6"/>
      <c r="X683" s="6"/>
      <c r="Y683" s="6"/>
      <c r="Z683" s="6"/>
      <c r="AA683" s="19"/>
      <c r="AB683" s="19"/>
      <c r="AC683" s="15"/>
      <c r="AD683" s="15"/>
      <c r="AE683" s="25"/>
      <c r="AF683" s="157">
        <f t="shared" si="400"/>
        <v>0</v>
      </c>
    </row>
    <row r="684" spans="1:32" s="43" customFormat="1" x14ac:dyDescent="0.25">
      <c r="A684" s="70" t="s">
        <v>722</v>
      </c>
      <c r="B684" s="55" t="s">
        <v>723</v>
      </c>
      <c r="C684" s="46" t="s">
        <v>468</v>
      </c>
      <c r="D684" s="13">
        <v>12</v>
      </c>
      <c r="E684" s="14">
        <f t="shared" si="405"/>
        <v>5244.92</v>
      </c>
      <c r="F684" s="14"/>
      <c r="G684" s="14"/>
      <c r="H684" s="137">
        <v>62939</v>
      </c>
      <c r="I684" s="15"/>
      <c r="J684" s="15"/>
      <c r="K684" s="15"/>
      <c r="L684" s="15"/>
      <c r="M684" s="22"/>
      <c r="N684" s="22"/>
      <c r="O684" s="22">
        <f t="shared" si="406"/>
        <v>574004</v>
      </c>
      <c r="P684" s="19">
        <f t="shared" si="407"/>
        <v>23534</v>
      </c>
      <c r="Q684" s="19">
        <f t="shared" si="408"/>
        <v>597538</v>
      </c>
      <c r="R684" s="6">
        <f t="shared" si="409"/>
        <v>4183</v>
      </c>
      <c r="S684" s="6"/>
      <c r="T684" s="6"/>
      <c r="U684" s="126">
        <f t="shared" si="410"/>
        <v>2914</v>
      </c>
      <c r="V684" s="126">
        <f t="shared" si="411"/>
        <v>669</v>
      </c>
      <c r="W684" s="6"/>
      <c r="X684" s="6"/>
      <c r="Y684" s="6"/>
      <c r="Z684" s="6"/>
      <c r="AA684" s="19">
        <f t="shared" si="412"/>
        <v>605304</v>
      </c>
      <c r="AB684" s="19">
        <f t="shared" si="413"/>
        <v>652288</v>
      </c>
      <c r="AC684" s="15">
        <f>AB684/D684</f>
        <v>54357.33</v>
      </c>
      <c r="AD684" s="15">
        <f>AC684*D684</f>
        <v>652287.96</v>
      </c>
      <c r="AE684" s="25"/>
      <c r="AF684" s="157">
        <f t="shared" si="400"/>
        <v>-0.04</v>
      </c>
    </row>
    <row r="685" spans="1:32" s="43" customFormat="1" ht="25.5" x14ac:dyDescent="0.25">
      <c r="A685" s="70" t="s">
        <v>724</v>
      </c>
      <c r="B685" s="55" t="s">
        <v>501</v>
      </c>
      <c r="C685" s="46" t="s">
        <v>72</v>
      </c>
      <c r="D685" s="13">
        <f>6+3.6+3.6</f>
        <v>13.2</v>
      </c>
      <c r="E685" s="14">
        <f t="shared" si="405"/>
        <v>198.11</v>
      </c>
      <c r="F685" s="14"/>
      <c r="G685" s="14"/>
      <c r="H685" s="137">
        <v>2615</v>
      </c>
      <c r="I685" s="15"/>
      <c r="J685" s="15"/>
      <c r="K685" s="15"/>
      <c r="L685" s="15"/>
      <c r="M685" s="22"/>
      <c r="N685" s="22"/>
      <c r="O685" s="22">
        <f t="shared" si="406"/>
        <v>23849</v>
      </c>
      <c r="P685" s="19">
        <f t="shared" si="407"/>
        <v>978</v>
      </c>
      <c r="Q685" s="19">
        <f t="shared" si="408"/>
        <v>24827</v>
      </c>
      <c r="R685" s="6">
        <f t="shared" si="409"/>
        <v>174</v>
      </c>
      <c r="S685" s="6"/>
      <c r="T685" s="6"/>
      <c r="U685" s="126">
        <f t="shared" si="410"/>
        <v>121</v>
      </c>
      <c r="V685" s="126">
        <f t="shared" si="411"/>
        <v>28</v>
      </c>
      <c r="W685" s="6"/>
      <c r="X685" s="6"/>
      <c r="Y685" s="6"/>
      <c r="Z685" s="6"/>
      <c r="AA685" s="19">
        <f t="shared" si="412"/>
        <v>25150</v>
      </c>
      <c r="AB685" s="19">
        <f t="shared" si="413"/>
        <v>27102</v>
      </c>
      <c r="AC685" s="15">
        <f>AB685/D685</f>
        <v>2053.1799999999998</v>
      </c>
      <c r="AD685" s="15">
        <f>AC685*D685</f>
        <v>27101.98</v>
      </c>
      <c r="AE685" s="25"/>
      <c r="AF685" s="157">
        <f t="shared" si="400"/>
        <v>-0.02</v>
      </c>
    </row>
    <row r="686" spans="1:32" s="43" customFormat="1" ht="25.5" x14ac:dyDescent="0.25">
      <c r="A686" s="70" t="s">
        <v>725</v>
      </c>
      <c r="B686" s="55" t="s">
        <v>503</v>
      </c>
      <c r="C686" s="46" t="s">
        <v>72</v>
      </c>
      <c r="D686" s="13">
        <v>6</v>
      </c>
      <c r="E686" s="14">
        <f t="shared" si="405"/>
        <v>206</v>
      </c>
      <c r="F686" s="14"/>
      <c r="G686" s="14"/>
      <c r="H686" s="137">
        <v>1236</v>
      </c>
      <c r="I686" s="15"/>
      <c r="J686" s="15"/>
      <c r="K686" s="15"/>
      <c r="L686" s="15"/>
      <c r="M686" s="22"/>
      <c r="N686" s="22"/>
      <c r="O686" s="22">
        <f t="shared" si="406"/>
        <v>11272</v>
      </c>
      <c r="P686" s="19">
        <f t="shared" si="407"/>
        <v>462</v>
      </c>
      <c r="Q686" s="19">
        <f t="shared" si="408"/>
        <v>11734</v>
      </c>
      <c r="R686" s="6">
        <f t="shared" si="409"/>
        <v>82</v>
      </c>
      <c r="S686" s="6"/>
      <c r="T686" s="6"/>
      <c r="U686" s="126">
        <f t="shared" si="410"/>
        <v>57</v>
      </c>
      <c r="V686" s="126">
        <f t="shared" si="411"/>
        <v>13</v>
      </c>
      <c r="W686" s="6"/>
      <c r="X686" s="6"/>
      <c r="Y686" s="6"/>
      <c r="Z686" s="6"/>
      <c r="AA686" s="19">
        <f t="shared" si="412"/>
        <v>11886</v>
      </c>
      <c r="AB686" s="19">
        <f t="shared" si="413"/>
        <v>12809</v>
      </c>
      <c r="AC686" s="15">
        <f>AB686/D686</f>
        <v>2134.83</v>
      </c>
      <c r="AD686" s="15">
        <f>AC686*D686</f>
        <v>12808.98</v>
      </c>
      <c r="AE686" s="25"/>
      <c r="AF686" s="157">
        <f t="shared" si="400"/>
        <v>-0.02</v>
      </c>
    </row>
    <row r="687" spans="1:32" s="43" customFormat="1" x14ac:dyDescent="0.25">
      <c r="A687" s="70" t="s">
        <v>726</v>
      </c>
      <c r="B687" s="55" t="s">
        <v>505</v>
      </c>
      <c r="C687" s="46" t="s">
        <v>70</v>
      </c>
      <c r="D687" s="13">
        <f>0.6+0.6</f>
        <v>1.2</v>
      </c>
      <c r="E687" s="14">
        <f t="shared" si="405"/>
        <v>1148.33</v>
      </c>
      <c r="F687" s="14"/>
      <c r="G687" s="14"/>
      <c r="H687" s="137">
        <v>1378</v>
      </c>
      <c r="I687" s="15"/>
      <c r="J687" s="15"/>
      <c r="K687" s="15"/>
      <c r="L687" s="15"/>
      <c r="M687" s="22"/>
      <c r="N687" s="22"/>
      <c r="O687" s="22">
        <f t="shared" si="406"/>
        <v>12567</v>
      </c>
      <c r="P687" s="19">
        <f t="shared" si="407"/>
        <v>515</v>
      </c>
      <c r="Q687" s="19">
        <f t="shared" si="408"/>
        <v>13082</v>
      </c>
      <c r="R687" s="6">
        <f t="shared" si="409"/>
        <v>92</v>
      </c>
      <c r="S687" s="6"/>
      <c r="T687" s="6"/>
      <c r="U687" s="126">
        <f t="shared" si="410"/>
        <v>64</v>
      </c>
      <c r="V687" s="126">
        <f t="shared" si="411"/>
        <v>15</v>
      </c>
      <c r="W687" s="6"/>
      <c r="X687" s="6"/>
      <c r="Y687" s="6"/>
      <c r="Z687" s="6"/>
      <c r="AA687" s="19">
        <f t="shared" si="412"/>
        <v>13253</v>
      </c>
      <c r="AB687" s="19">
        <f t="shared" si="413"/>
        <v>14282</v>
      </c>
      <c r="AC687" s="15">
        <f>AB687/D687</f>
        <v>11901.67</v>
      </c>
      <c r="AD687" s="15">
        <f>AC687*D687</f>
        <v>14282</v>
      </c>
      <c r="AE687" s="25"/>
      <c r="AF687" s="157">
        <f t="shared" si="400"/>
        <v>0</v>
      </c>
    </row>
    <row r="688" spans="1:32" s="51" customFormat="1" ht="25.5" x14ac:dyDescent="0.25">
      <c r="A688" s="109" t="s">
        <v>165</v>
      </c>
      <c r="B688" s="56" t="s">
        <v>249</v>
      </c>
      <c r="C688" s="92"/>
      <c r="D688" s="93"/>
      <c r="E688" s="94"/>
      <c r="F688" s="94"/>
      <c r="G688" s="94"/>
      <c r="H688" s="111">
        <v>4696130</v>
      </c>
      <c r="I688" s="20"/>
      <c r="J688" s="20">
        <f>4696.13*1000</f>
        <v>4696130</v>
      </c>
      <c r="K688" s="20" t="s">
        <v>21</v>
      </c>
      <c r="L688" s="20">
        <f>H688-J688</f>
        <v>0</v>
      </c>
      <c r="M688" s="95">
        <v>42828700</v>
      </c>
      <c r="N688" s="50">
        <f>SUM(O690:O704)-M688</f>
        <v>25</v>
      </c>
      <c r="O688" s="95"/>
      <c r="P688" s="50"/>
      <c r="Q688" s="50"/>
      <c r="R688" s="50"/>
      <c r="S688" s="30"/>
      <c r="T688" s="30"/>
      <c r="U688" s="126"/>
      <c r="V688" s="126"/>
      <c r="W688" s="50"/>
      <c r="X688" s="30"/>
      <c r="Y688" s="30"/>
      <c r="Z688" s="30"/>
      <c r="AA688" s="50"/>
      <c r="AB688" s="50"/>
      <c r="AC688" s="20"/>
      <c r="AD688" s="20"/>
      <c r="AE688" s="97"/>
      <c r="AF688" s="157">
        <f t="shared" si="400"/>
        <v>0</v>
      </c>
    </row>
    <row r="689" spans="1:32" s="43" customFormat="1" x14ac:dyDescent="0.25">
      <c r="A689" s="49" t="s">
        <v>166</v>
      </c>
      <c r="B689" s="11" t="s">
        <v>149</v>
      </c>
      <c r="C689" s="46"/>
      <c r="D689" s="13"/>
      <c r="E689" s="14"/>
      <c r="F689" s="14"/>
      <c r="G689" s="14"/>
      <c r="H689" s="48"/>
      <c r="I689" s="15"/>
      <c r="J689" s="15"/>
      <c r="K689" s="15"/>
      <c r="L689" s="15"/>
      <c r="M689" s="22"/>
      <c r="N689" s="22"/>
      <c r="O689" s="22"/>
      <c r="P689" s="19"/>
      <c r="Q689" s="19"/>
      <c r="R689" s="6"/>
      <c r="S689" s="6"/>
      <c r="T689" s="6"/>
      <c r="U689" s="126"/>
      <c r="V689" s="126"/>
      <c r="W689" s="6"/>
      <c r="X689" s="6"/>
      <c r="Y689" s="6"/>
      <c r="Z689" s="6"/>
      <c r="AA689" s="19"/>
      <c r="AB689" s="19"/>
      <c r="AC689" s="15"/>
      <c r="AD689" s="15"/>
      <c r="AE689" s="25"/>
      <c r="AF689" s="157">
        <f t="shared" si="400"/>
        <v>0</v>
      </c>
    </row>
    <row r="690" spans="1:32" s="43" customFormat="1" x14ac:dyDescent="0.25">
      <c r="A690" s="70" t="s">
        <v>167</v>
      </c>
      <c r="B690" s="55" t="s">
        <v>422</v>
      </c>
      <c r="C690" s="46" t="s">
        <v>70</v>
      </c>
      <c r="D690" s="13">
        <f>10+1</f>
        <v>11</v>
      </c>
      <c r="E690" s="14">
        <f>H690/D690</f>
        <v>118.73</v>
      </c>
      <c r="F690" s="14"/>
      <c r="G690" s="14"/>
      <c r="H690" s="137">
        <v>1306</v>
      </c>
      <c r="I690" s="15"/>
      <c r="J690" s="15"/>
      <c r="K690" s="15"/>
      <c r="L690" s="15"/>
      <c r="M690" s="22"/>
      <c r="N690" s="22"/>
      <c r="O690" s="22">
        <f>H690*9.12</f>
        <v>11911</v>
      </c>
      <c r="P690" s="19">
        <f>O690*4.1%</f>
        <v>488</v>
      </c>
      <c r="Q690" s="19">
        <f>SUM(O690:P690)</f>
        <v>12399</v>
      </c>
      <c r="R690" s="6">
        <f>Q690*0.7%</f>
        <v>87</v>
      </c>
      <c r="S690" s="6"/>
      <c r="T690" s="6"/>
      <c r="U690" s="126">
        <f>Q690*$U$4</f>
        <v>60</v>
      </c>
      <c r="V690" s="126">
        <f>Q690*$V$4</f>
        <v>14</v>
      </c>
      <c r="W690" s="6"/>
      <c r="X690" s="6"/>
      <c r="Y690" s="6"/>
      <c r="Z690" s="6"/>
      <c r="AA690" s="19">
        <f>SUM(Q690:Z690)</f>
        <v>12560</v>
      </c>
      <c r="AB690" s="19">
        <f>$AA690*AB$7</f>
        <v>13535</v>
      </c>
      <c r="AC690" s="15">
        <f t="shared" ref="AC690:AC696" si="414">AB690/D690</f>
        <v>1230.45</v>
      </c>
      <c r="AD690" s="15">
        <f t="shared" ref="AD690:AD696" si="415">AC690*D690</f>
        <v>13534.95</v>
      </c>
      <c r="AE690" s="25"/>
      <c r="AF690" s="157">
        <f t="shared" si="400"/>
        <v>-0.05</v>
      </c>
    </row>
    <row r="691" spans="1:32" s="43" customFormat="1" x14ac:dyDescent="0.25">
      <c r="A691" s="70" t="s">
        <v>746</v>
      </c>
      <c r="B691" s="55" t="s">
        <v>113</v>
      </c>
      <c r="C691" s="46" t="s">
        <v>70</v>
      </c>
      <c r="D691" s="13">
        <f>127+8+809+25+24+1</f>
        <v>994</v>
      </c>
      <c r="E691" s="14">
        <f t="shared" ref="E691:E704" si="416">H691/D691</f>
        <v>19.84</v>
      </c>
      <c r="F691" s="14"/>
      <c r="G691" s="14"/>
      <c r="H691" s="137">
        <v>19721</v>
      </c>
      <c r="I691" s="15"/>
      <c r="J691" s="15"/>
      <c r="K691" s="15"/>
      <c r="L691" s="15"/>
      <c r="M691" s="22"/>
      <c r="N691" s="22"/>
      <c r="O691" s="22">
        <f t="shared" ref="O691:O704" si="417">H691*9.12</f>
        <v>179856</v>
      </c>
      <c r="P691" s="19">
        <f t="shared" ref="P691:P704" si="418">O691*4.1%</f>
        <v>7374</v>
      </c>
      <c r="Q691" s="19">
        <f t="shared" ref="Q691:Q704" si="419">SUM(O691:P691)</f>
        <v>187230</v>
      </c>
      <c r="R691" s="6">
        <f t="shared" ref="R691:R704" si="420">Q691*0.7%</f>
        <v>1311</v>
      </c>
      <c r="S691" s="6"/>
      <c r="T691" s="6"/>
      <c r="U691" s="126">
        <f t="shared" ref="U691:U704" si="421">Q691*$U$4</f>
        <v>913</v>
      </c>
      <c r="V691" s="126">
        <f t="shared" ref="V691:V704" si="422">Q691*$V$4</f>
        <v>210</v>
      </c>
      <c r="W691" s="6"/>
      <c r="X691" s="6"/>
      <c r="Y691" s="6"/>
      <c r="Z691" s="6"/>
      <c r="AA691" s="19">
        <f t="shared" ref="AA691:AA704" si="423">SUM(Q691:Z691)</f>
        <v>189664</v>
      </c>
      <c r="AB691" s="19">
        <f t="shared" ref="AB691:AB704" si="424">$AA691*AB$7</f>
        <v>204386</v>
      </c>
      <c r="AC691" s="15">
        <f t="shared" si="414"/>
        <v>205.62</v>
      </c>
      <c r="AD691" s="15">
        <f t="shared" si="415"/>
        <v>204386.28</v>
      </c>
      <c r="AE691" s="25"/>
      <c r="AF691" s="157">
        <f t="shared" si="400"/>
        <v>0.28000000000000003</v>
      </c>
    </row>
    <row r="692" spans="1:32" s="43" customFormat="1" x14ac:dyDescent="0.25">
      <c r="A692" s="70" t="s">
        <v>747</v>
      </c>
      <c r="B692" s="55" t="s">
        <v>393</v>
      </c>
      <c r="C692" s="46" t="s">
        <v>70</v>
      </c>
      <c r="D692" s="13">
        <v>71499</v>
      </c>
      <c r="E692" s="14">
        <f t="shared" si="416"/>
        <v>26.26</v>
      </c>
      <c r="F692" s="14"/>
      <c r="G692" s="14"/>
      <c r="H692" s="137">
        <v>1877606</v>
      </c>
      <c r="I692" s="15"/>
      <c r="J692" s="15"/>
      <c r="K692" s="15"/>
      <c r="L692" s="15"/>
      <c r="M692" s="22"/>
      <c r="N692" s="22"/>
      <c r="O692" s="22">
        <f t="shared" si="417"/>
        <v>17123767</v>
      </c>
      <c r="P692" s="19">
        <f t="shared" si="418"/>
        <v>702074</v>
      </c>
      <c r="Q692" s="19">
        <f t="shared" si="419"/>
        <v>17825841</v>
      </c>
      <c r="R692" s="6">
        <f t="shared" si="420"/>
        <v>124781</v>
      </c>
      <c r="S692" s="6"/>
      <c r="T692" s="6"/>
      <c r="U692" s="126">
        <f t="shared" si="421"/>
        <v>86944</v>
      </c>
      <c r="V692" s="126">
        <f t="shared" si="422"/>
        <v>19955</v>
      </c>
      <c r="W692" s="6"/>
      <c r="X692" s="6"/>
      <c r="Y692" s="6"/>
      <c r="Z692" s="6"/>
      <c r="AA692" s="19">
        <f t="shared" si="423"/>
        <v>18057521</v>
      </c>
      <c r="AB692" s="19">
        <f t="shared" si="424"/>
        <v>19459146</v>
      </c>
      <c r="AC692" s="15">
        <f t="shared" si="414"/>
        <v>272.16000000000003</v>
      </c>
      <c r="AD692" s="15">
        <f t="shared" si="415"/>
        <v>19459167.84</v>
      </c>
      <c r="AE692" s="25"/>
      <c r="AF692" s="157">
        <f t="shared" si="400"/>
        <v>21.84</v>
      </c>
    </row>
    <row r="693" spans="1:32" s="43" customFormat="1" x14ac:dyDescent="0.25">
      <c r="A693" s="70" t="s">
        <v>748</v>
      </c>
      <c r="B693" s="55" t="s">
        <v>749</v>
      </c>
      <c r="C693" s="46" t="s">
        <v>72</v>
      </c>
      <c r="D693" s="13">
        <v>12633</v>
      </c>
      <c r="E693" s="14">
        <f t="shared" si="416"/>
        <v>26.47</v>
      </c>
      <c r="F693" s="14"/>
      <c r="G693" s="14"/>
      <c r="H693" s="137">
        <v>334400</v>
      </c>
      <c r="I693" s="15"/>
      <c r="J693" s="15"/>
      <c r="K693" s="15"/>
      <c r="L693" s="15"/>
      <c r="M693" s="22"/>
      <c r="N693" s="22"/>
      <c r="O693" s="22">
        <f t="shared" si="417"/>
        <v>3049728</v>
      </c>
      <c r="P693" s="19">
        <f t="shared" si="418"/>
        <v>125039</v>
      </c>
      <c r="Q693" s="19">
        <f t="shared" si="419"/>
        <v>3174767</v>
      </c>
      <c r="R693" s="6">
        <f t="shared" si="420"/>
        <v>22223</v>
      </c>
      <c r="S693" s="6"/>
      <c r="T693" s="6"/>
      <c r="U693" s="126">
        <f t="shared" si="421"/>
        <v>15485</v>
      </c>
      <c r="V693" s="126">
        <f t="shared" si="422"/>
        <v>3554</v>
      </c>
      <c r="W693" s="6"/>
      <c r="X693" s="6"/>
      <c r="Y693" s="6"/>
      <c r="Z693" s="6"/>
      <c r="AA693" s="19">
        <f t="shared" si="423"/>
        <v>3216029</v>
      </c>
      <c r="AB693" s="19">
        <f t="shared" si="424"/>
        <v>3465657</v>
      </c>
      <c r="AC693" s="15">
        <f t="shared" si="414"/>
        <v>274.33</v>
      </c>
      <c r="AD693" s="15">
        <f t="shared" si="415"/>
        <v>3465610.89</v>
      </c>
      <c r="AE693" s="25"/>
      <c r="AF693" s="157">
        <f t="shared" si="400"/>
        <v>-46.11</v>
      </c>
    </row>
    <row r="694" spans="1:32" s="43" customFormat="1" x14ac:dyDescent="0.25">
      <c r="A694" s="70" t="s">
        <v>750</v>
      </c>
      <c r="B694" s="55" t="s">
        <v>751</v>
      </c>
      <c r="C694" s="46" t="s">
        <v>72</v>
      </c>
      <c r="D694" s="13">
        <v>8452</v>
      </c>
      <c r="E694" s="14">
        <f t="shared" si="416"/>
        <v>121.61</v>
      </c>
      <c r="F694" s="14"/>
      <c r="G694" s="14"/>
      <c r="H694" s="137">
        <v>1027888</v>
      </c>
      <c r="I694" s="15"/>
      <c r="J694" s="15"/>
      <c r="K694" s="15"/>
      <c r="L694" s="15"/>
      <c r="M694" s="22"/>
      <c r="N694" s="22"/>
      <c r="O694" s="22">
        <f t="shared" si="417"/>
        <v>9374339</v>
      </c>
      <c r="P694" s="19">
        <f t="shared" si="418"/>
        <v>384348</v>
      </c>
      <c r="Q694" s="19">
        <f t="shared" si="419"/>
        <v>9758687</v>
      </c>
      <c r="R694" s="6">
        <f t="shared" si="420"/>
        <v>68311</v>
      </c>
      <c r="S694" s="6"/>
      <c r="T694" s="6"/>
      <c r="U694" s="126">
        <f t="shared" si="421"/>
        <v>47597</v>
      </c>
      <c r="V694" s="126">
        <f t="shared" si="422"/>
        <v>10924</v>
      </c>
      <c r="W694" s="6"/>
      <c r="X694" s="6"/>
      <c r="Y694" s="6"/>
      <c r="Z694" s="6"/>
      <c r="AA694" s="19">
        <f t="shared" si="423"/>
        <v>9885519</v>
      </c>
      <c r="AB694" s="19">
        <f t="shared" si="424"/>
        <v>10652833</v>
      </c>
      <c r="AC694" s="15">
        <f t="shared" si="414"/>
        <v>1260.3900000000001</v>
      </c>
      <c r="AD694" s="15">
        <f t="shared" si="415"/>
        <v>10652816.279999999</v>
      </c>
      <c r="AE694" s="25"/>
      <c r="AF694" s="157">
        <f t="shared" si="400"/>
        <v>-16.72</v>
      </c>
    </row>
    <row r="695" spans="1:32" s="43" customFormat="1" x14ac:dyDescent="0.25">
      <c r="A695" s="70" t="s">
        <v>752</v>
      </c>
      <c r="B695" s="55" t="s">
        <v>397</v>
      </c>
      <c r="C695" s="46" t="s">
        <v>72</v>
      </c>
      <c r="D695" s="13">
        <v>1764</v>
      </c>
      <c r="E695" s="14">
        <f t="shared" si="416"/>
        <v>153.93</v>
      </c>
      <c r="F695" s="14"/>
      <c r="G695" s="14"/>
      <c r="H695" s="137">
        <v>271524</v>
      </c>
      <c r="I695" s="15"/>
      <c r="J695" s="15"/>
      <c r="K695" s="15"/>
      <c r="L695" s="15"/>
      <c r="M695" s="22"/>
      <c r="N695" s="22"/>
      <c r="O695" s="22">
        <f t="shared" si="417"/>
        <v>2476299</v>
      </c>
      <c r="P695" s="19">
        <f t="shared" si="418"/>
        <v>101528</v>
      </c>
      <c r="Q695" s="19">
        <f t="shared" si="419"/>
        <v>2577827</v>
      </c>
      <c r="R695" s="6">
        <f t="shared" si="420"/>
        <v>18045</v>
      </c>
      <c r="S695" s="6"/>
      <c r="T695" s="6"/>
      <c r="U695" s="126">
        <f t="shared" si="421"/>
        <v>12573</v>
      </c>
      <c r="V695" s="126">
        <f t="shared" si="422"/>
        <v>2886</v>
      </c>
      <c r="W695" s="6"/>
      <c r="X695" s="6"/>
      <c r="Y695" s="6"/>
      <c r="Z695" s="6"/>
      <c r="AA695" s="19">
        <f t="shared" si="423"/>
        <v>2611331</v>
      </c>
      <c r="AB695" s="19">
        <f t="shared" si="424"/>
        <v>2814023</v>
      </c>
      <c r="AC695" s="15">
        <f t="shared" si="414"/>
        <v>1595.25</v>
      </c>
      <c r="AD695" s="15">
        <f t="shared" si="415"/>
        <v>2814021</v>
      </c>
      <c r="AE695" s="25"/>
      <c r="AF695" s="157">
        <f t="shared" si="400"/>
        <v>-2</v>
      </c>
    </row>
    <row r="696" spans="1:32" s="43" customFormat="1" x14ac:dyDescent="0.25">
      <c r="A696" s="70" t="s">
        <v>753</v>
      </c>
      <c r="B696" s="55" t="s">
        <v>396</v>
      </c>
      <c r="C696" s="46" t="s">
        <v>72</v>
      </c>
      <c r="D696" s="13">
        <v>699</v>
      </c>
      <c r="E696" s="14">
        <f t="shared" si="416"/>
        <v>76.260000000000005</v>
      </c>
      <c r="F696" s="14"/>
      <c r="G696" s="14"/>
      <c r="H696" s="137">
        <v>53309</v>
      </c>
      <c r="I696" s="15"/>
      <c r="J696" s="15"/>
      <c r="K696" s="15"/>
      <c r="L696" s="15"/>
      <c r="M696" s="22"/>
      <c r="N696" s="22"/>
      <c r="O696" s="22">
        <f t="shared" si="417"/>
        <v>486178</v>
      </c>
      <c r="P696" s="19">
        <f t="shared" si="418"/>
        <v>19933</v>
      </c>
      <c r="Q696" s="19">
        <f t="shared" si="419"/>
        <v>506111</v>
      </c>
      <c r="R696" s="6">
        <f t="shared" si="420"/>
        <v>3543</v>
      </c>
      <c r="S696" s="6"/>
      <c r="T696" s="6"/>
      <c r="U696" s="126">
        <f t="shared" si="421"/>
        <v>2469</v>
      </c>
      <c r="V696" s="126">
        <f t="shared" si="422"/>
        <v>567</v>
      </c>
      <c r="W696" s="6"/>
      <c r="X696" s="6"/>
      <c r="Y696" s="6"/>
      <c r="Z696" s="6"/>
      <c r="AA696" s="19">
        <f t="shared" si="423"/>
        <v>512690</v>
      </c>
      <c r="AB696" s="19">
        <f t="shared" si="424"/>
        <v>552485</v>
      </c>
      <c r="AC696" s="15">
        <f t="shared" si="414"/>
        <v>790.39</v>
      </c>
      <c r="AD696" s="15">
        <f t="shared" si="415"/>
        <v>552482.61</v>
      </c>
      <c r="AE696" s="25"/>
      <c r="AF696" s="157">
        <f t="shared" si="400"/>
        <v>-2.39</v>
      </c>
    </row>
    <row r="697" spans="1:32" s="43" customFormat="1" x14ac:dyDescent="0.25">
      <c r="A697" s="49" t="s">
        <v>754</v>
      </c>
      <c r="B697" s="11" t="s">
        <v>436</v>
      </c>
      <c r="C697" s="46"/>
      <c r="D697" s="13"/>
      <c r="E697" s="14"/>
      <c r="F697" s="14"/>
      <c r="G697" s="14"/>
      <c r="H697" s="137"/>
      <c r="I697" s="15"/>
      <c r="J697" s="15"/>
      <c r="K697" s="15"/>
      <c r="L697" s="15"/>
      <c r="M697" s="22"/>
      <c r="N697" s="22"/>
      <c r="O697" s="22"/>
      <c r="P697" s="19"/>
      <c r="Q697" s="19"/>
      <c r="R697" s="6"/>
      <c r="S697" s="6"/>
      <c r="T697" s="6"/>
      <c r="U697" s="126"/>
      <c r="V697" s="126"/>
      <c r="W697" s="6"/>
      <c r="X697" s="6"/>
      <c r="Y697" s="6"/>
      <c r="Z697" s="6"/>
      <c r="AA697" s="19"/>
      <c r="AB697" s="19"/>
      <c r="AC697" s="15"/>
      <c r="AD697" s="15"/>
      <c r="AE697" s="25"/>
      <c r="AF697" s="157">
        <f t="shared" si="400"/>
        <v>0</v>
      </c>
    </row>
    <row r="698" spans="1:32" s="43" customFormat="1" ht="25.5" x14ac:dyDescent="0.25">
      <c r="A698" s="70" t="s">
        <v>755</v>
      </c>
      <c r="B698" s="55" t="s">
        <v>482</v>
      </c>
      <c r="C698" s="46" t="s">
        <v>72</v>
      </c>
      <c r="D698" s="13">
        <v>7518</v>
      </c>
      <c r="E698" s="14">
        <f t="shared" si="416"/>
        <v>127.75</v>
      </c>
      <c r="F698" s="14"/>
      <c r="G698" s="14"/>
      <c r="H698" s="137">
        <v>960429</v>
      </c>
      <c r="I698" s="15"/>
      <c r="J698" s="15"/>
      <c r="K698" s="15"/>
      <c r="L698" s="15"/>
      <c r="M698" s="22"/>
      <c r="N698" s="22"/>
      <c r="O698" s="22">
        <f t="shared" si="417"/>
        <v>8759112</v>
      </c>
      <c r="P698" s="19">
        <f t="shared" si="418"/>
        <v>359124</v>
      </c>
      <c r="Q698" s="19">
        <f t="shared" si="419"/>
        <v>9118236</v>
      </c>
      <c r="R698" s="6">
        <f t="shared" si="420"/>
        <v>63828</v>
      </c>
      <c r="S698" s="6"/>
      <c r="T698" s="6"/>
      <c r="U698" s="126">
        <f t="shared" si="421"/>
        <v>44474</v>
      </c>
      <c r="V698" s="126">
        <f t="shared" si="422"/>
        <v>10207</v>
      </c>
      <c r="W698" s="6"/>
      <c r="X698" s="6"/>
      <c r="Y698" s="6"/>
      <c r="Z698" s="6"/>
      <c r="AA698" s="19">
        <f t="shared" si="423"/>
        <v>9236745</v>
      </c>
      <c r="AB698" s="19">
        <f t="shared" si="424"/>
        <v>9953701</v>
      </c>
      <c r="AC698" s="15">
        <f>AB698/D698</f>
        <v>1323.98</v>
      </c>
      <c r="AD698" s="15">
        <f>AC698*D698</f>
        <v>9953681.6400000006</v>
      </c>
      <c r="AE698" s="25"/>
      <c r="AF698" s="157">
        <f t="shared" si="400"/>
        <v>-19.36</v>
      </c>
    </row>
    <row r="699" spans="1:32" s="43" customFormat="1" ht="25.5" x14ac:dyDescent="0.25">
      <c r="A699" s="49" t="s">
        <v>756</v>
      </c>
      <c r="B699" s="11" t="s">
        <v>130</v>
      </c>
      <c r="C699" s="46"/>
      <c r="D699" s="13"/>
      <c r="E699" s="14"/>
      <c r="F699" s="14"/>
      <c r="G699" s="14"/>
      <c r="H699" s="137"/>
      <c r="I699" s="15"/>
      <c r="J699" s="15"/>
      <c r="K699" s="15"/>
      <c r="L699" s="15"/>
      <c r="M699" s="22"/>
      <c r="N699" s="22"/>
      <c r="O699" s="22"/>
      <c r="P699" s="19"/>
      <c r="Q699" s="19"/>
      <c r="R699" s="6"/>
      <c r="S699" s="6"/>
      <c r="T699" s="6"/>
      <c r="U699" s="126"/>
      <c r="V699" s="126"/>
      <c r="W699" s="6"/>
      <c r="X699" s="6"/>
      <c r="Y699" s="6"/>
      <c r="Z699" s="6"/>
      <c r="AA699" s="19"/>
      <c r="AB699" s="19"/>
      <c r="AC699" s="15"/>
      <c r="AD699" s="15"/>
      <c r="AE699" s="25"/>
      <c r="AF699" s="157">
        <f t="shared" si="400"/>
        <v>0</v>
      </c>
    </row>
    <row r="700" spans="1:32" s="43" customFormat="1" x14ac:dyDescent="0.25">
      <c r="A700" s="70" t="s">
        <v>757</v>
      </c>
      <c r="B700" s="55" t="s">
        <v>496</v>
      </c>
      <c r="C700" s="46" t="s">
        <v>468</v>
      </c>
      <c r="D700" s="13">
        <v>21.125</v>
      </c>
      <c r="E700" s="14">
        <f t="shared" si="416"/>
        <v>6531.12</v>
      </c>
      <c r="F700" s="14"/>
      <c r="G700" s="14"/>
      <c r="H700" s="137">
        <v>137970</v>
      </c>
      <c r="I700" s="15"/>
      <c r="J700" s="15"/>
      <c r="K700" s="15"/>
      <c r="L700" s="15"/>
      <c r="M700" s="22"/>
      <c r="N700" s="22"/>
      <c r="O700" s="22">
        <f t="shared" si="417"/>
        <v>1258286</v>
      </c>
      <c r="P700" s="19">
        <f t="shared" si="418"/>
        <v>51590</v>
      </c>
      <c r="Q700" s="19">
        <f t="shared" si="419"/>
        <v>1309876</v>
      </c>
      <c r="R700" s="6">
        <f t="shared" si="420"/>
        <v>9169</v>
      </c>
      <c r="S700" s="6"/>
      <c r="T700" s="6"/>
      <c r="U700" s="126">
        <f t="shared" si="421"/>
        <v>6389</v>
      </c>
      <c r="V700" s="126">
        <f t="shared" si="422"/>
        <v>1466</v>
      </c>
      <c r="W700" s="6"/>
      <c r="X700" s="6"/>
      <c r="Y700" s="6"/>
      <c r="Z700" s="6"/>
      <c r="AA700" s="19">
        <f t="shared" si="423"/>
        <v>1326900</v>
      </c>
      <c r="AB700" s="19">
        <f t="shared" si="424"/>
        <v>1429894</v>
      </c>
      <c r="AC700" s="15">
        <f>AB700/D700</f>
        <v>67687.289999999994</v>
      </c>
      <c r="AD700" s="15">
        <f>AC700*D700</f>
        <v>1429894</v>
      </c>
      <c r="AE700" s="25"/>
      <c r="AF700" s="157">
        <f t="shared" si="400"/>
        <v>0</v>
      </c>
    </row>
    <row r="701" spans="1:32" s="43" customFormat="1" x14ac:dyDescent="0.25">
      <c r="A701" s="70" t="s">
        <v>758</v>
      </c>
      <c r="B701" s="55" t="s">
        <v>132</v>
      </c>
      <c r="C701" s="46" t="s">
        <v>70</v>
      </c>
      <c r="D701" s="13">
        <v>0.76</v>
      </c>
      <c r="E701" s="14">
        <f t="shared" si="416"/>
        <v>5446.05</v>
      </c>
      <c r="F701" s="14"/>
      <c r="G701" s="14"/>
      <c r="H701" s="137">
        <v>4139</v>
      </c>
      <c r="I701" s="15"/>
      <c r="J701" s="15"/>
      <c r="K701" s="15"/>
      <c r="L701" s="15"/>
      <c r="M701" s="22"/>
      <c r="N701" s="22"/>
      <c r="O701" s="22">
        <f t="shared" si="417"/>
        <v>37748</v>
      </c>
      <c r="P701" s="19">
        <f t="shared" si="418"/>
        <v>1548</v>
      </c>
      <c r="Q701" s="19">
        <f t="shared" si="419"/>
        <v>39296</v>
      </c>
      <c r="R701" s="6">
        <f t="shared" si="420"/>
        <v>275</v>
      </c>
      <c r="S701" s="6"/>
      <c r="T701" s="6"/>
      <c r="U701" s="126">
        <f t="shared" si="421"/>
        <v>192</v>
      </c>
      <c r="V701" s="126">
        <f t="shared" si="422"/>
        <v>44</v>
      </c>
      <c r="W701" s="6"/>
      <c r="X701" s="6"/>
      <c r="Y701" s="6"/>
      <c r="Z701" s="6"/>
      <c r="AA701" s="19">
        <f t="shared" si="423"/>
        <v>39807</v>
      </c>
      <c r="AB701" s="19">
        <f t="shared" si="424"/>
        <v>42897</v>
      </c>
      <c r="AC701" s="15">
        <f>AB701/D701</f>
        <v>56443.42</v>
      </c>
      <c r="AD701" s="15">
        <f>AC701*D701</f>
        <v>42897</v>
      </c>
      <c r="AE701" s="25"/>
      <c r="AF701" s="157">
        <f t="shared" si="400"/>
        <v>0</v>
      </c>
    </row>
    <row r="702" spans="1:32" s="43" customFormat="1" ht="25.5" x14ac:dyDescent="0.25">
      <c r="A702" s="70" t="s">
        <v>759</v>
      </c>
      <c r="B702" s="55" t="s">
        <v>501</v>
      </c>
      <c r="C702" s="46" t="s">
        <v>72</v>
      </c>
      <c r="D702" s="13">
        <f>11.3+7.8+4.4</f>
        <v>23.5</v>
      </c>
      <c r="E702" s="14">
        <f t="shared" si="416"/>
        <v>173.66</v>
      </c>
      <c r="F702" s="14"/>
      <c r="G702" s="14"/>
      <c r="H702" s="137">
        <v>4081</v>
      </c>
      <c r="I702" s="15"/>
      <c r="J702" s="15"/>
      <c r="K702" s="15"/>
      <c r="L702" s="15"/>
      <c r="M702" s="22"/>
      <c r="N702" s="22"/>
      <c r="O702" s="22">
        <f t="shared" si="417"/>
        <v>37219</v>
      </c>
      <c r="P702" s="19">
        <f t="shared" si="418"/>
        <v>1526</v>
      </c>
      <c r="Q702" s="19">
        <f t="shared" si="419"/>
        <v>38745</v>
      </c>
      <c r="R702" s="6">
        <f t="shared" si="420"/>
        <v>271</v>
      </c>
      <c r="S702" s="6"/>
      <c r="T702" s="6"/>
      <c r="U702" s="126">
        <f t="shared" si="421"/>
        <v>189</v>
      </c>
      <c r="V702" s="126">
        <f t="shared" si="422"/>
        <v>43</v>
      </c>
      <c r="W702" s="6"/>
      <c r="X702" s="6"/>
      <c r="Y702" s="6"/>
      <c r="Z702" s="6"/>
      <c r="AA702" s="19">
        <f t="shared" si="423"/>
        <v>39248</v>
      </c>
      <c r="AB702" s="19">
        <f t="shared" si="424"/>
        <v>42294</v>
      </c>
      <c r="AC702" s="15">
        <f>AB702/D702</f>
        <v>1799.74</v>
      </c>
      <c r="AD702" s="15">
        <f>AC702*D702</f>
        <v>42293.89</v>
      </c>
      <c r="AE702" s="25"/>
      <c r="AF702" s="157">
        <f t="shared" si="400"/>
        <v>-0.11</v>
      </c>
    </row>
    <row r="703" spans="1:32" s="43" customFormat="1" ht="25.5" x14ac:dyDescent="0.25">
      <c r="A703" s="70" t="s">
        <v>760</v>
      </c>
      <c r="B703" s="55" t="s">
        <v>503</v>
      </c>
      <c r="C703" s="46" t="s">
        <v>72</v>
      </c>
      <c r="D703" s="13">
        <v>10.7</v>
      </c>
      <c r="E703" s="14">
        <f t="shared" si="416"/>
        <v>190.28</v>
      </c>
      <c r="F703" s="14"/>
      <c r="G703" s="14"/>
      <c r="H703" s="137">
        <v>2036</v>
      </c>
      <c r="I703" s="15"/>
      <c r="J703" s="15"/>
      <c r="K703" s="15"/>
      <c r="L703" s="15"/>
      <c r="M703" s="22"/>
      <c r="N703" s="22"/>
      <c r="O703" s="22">
        <f t="shared" si="417"/>
        <v>18568</v>
      </c>
      <c r="P703" s="19">
        <f t="shared" si="418"/>
        <v>761</v>
      </c>
      <c r="Q703" s="19">
        <f t="shared" si="419"/>
        <v>19329</v>
      </c>
      <c r="R703" s="6">
        <f t="shared" si="420"/>
        <v>135</v>
      </c>
      <c r="S703" s="6"/>
      <c r="T703" s="6"/>
      <c r="U703" s="126">
        <f t="shared" si="421"/>
        <v>94</v>
      </c>
      <c r="V703" s="126">
        <f t="shared" si="422"/>
        <v>22</v>
      </c>
      <c r="W703" s="6"/>
      <c r="X703" s="6"/>
      <c r="Y703" s="6"/>
      <c r="Z703" s="6"/>
      <c r="AA703" s="19">
        <f t="shared" si="423"/>
        <v>19580</v>
      </c>
      <c r="AB703" s="19">
        <f t="shared" si="424"/>
        <v>21100</v>
      </c>
      <c r="AC703" s="15">
        <f>AB703/D703</f>
        <v>1971.96</v>
      </c>
      <c r="AD703" s="15">
        <f>AC703*D703</f>
        <v>21099.97</v>
      </c>
      <c r="AE703" s="25"/>
      <c r="AF703" s="157">
        <f t="shared" si="400"/>
        <v>-0.03</v>
      </c>
    </row>
    <row r="704" spans="1:32" s="43" customFormat="1" x14ac:dyDescent="0.25">
      <c r="A704" s="70" t="s">
        <v>761</v>
      </c>
      <c r="B704" s="55" t="s">
        <v>505</v>
      </c>
      <c r="C704" s="46" t="s">
        <v>70</v>
      </c>
      <c r="D704" s="13">
        <f>0.9+0.6</f>
        <v>1.5</v>
      </c>
      <c r="E704" s="14">
        <f t="shared" si="416"/>
        <v>1148.67</v>
      </c>
      <c r="F704" s="14"/>
      <c r="G704" s="14"/>
      <c r="H704" s="137">
        <v>1723</v>
      </c>
      <c r="I704" s="15"/>
      <c r="J704" s="15"/>
      <c r="K704" s="15"/>
      <c r="L704" s="15"/>
      <c r="M704" s="22"/>
      <c r="N704" s="22"/>
      <c r="O704" s="22">
        <f t="shared" si="417"/>
        <v>15714</v>
      </c>
      <c r="P704" s="19">
        <f t="shared" si="418"/>
        <v>644</v>
      </c>
      <c r="Q704" s="19">
        <f t="shared" si="419"/>
        <v>16358</v>
      </c>
      <c r="R704" s="6">
        <f t="shared" si="420"/>
        <v>115</v>
      </c>
      <c r="S704" s="6"/>
      <c r="T704" s="6"/>
      <c r="U704" s="126">
        <f t="shared" si="421"/>
        <v>80</v>
      </c>
      <c r="V704" s="126">
        <f t="shared" si="422"/>
        <v>18</v>
      </c>
      <c r="W704" s="6"/>
      <c r="X704" s="6"/>
      <c r="Y704" s="6"/>
      <c r="Z704" s="6"/>
      <c r="AA704" s="19">
        <f t="shared" si="423"/>
        <v>16571</v>
      </c>
      <c r="AB704" s="19">
        <f t="shared" si="424"/>
        <v>17857</v>
      </c>
      <c r="AC704" s="15">
        <f>AB704/D704</f>
        <v>11904.67</v>
      </c>
      <c r="AD704" s="15">
        <f>AC704*D704</f>
        <v>17857.009999999998</v>
      </c>
      <c r="AE704" s="25"/>
      <c r="AF704" s="157">
        <f t="shared" ref="AF704:AF861" si="425">AD704-AB704</f>
        <v>0.01</v>
      </c>
    </row>
    <row r="705" spans="1:32" s="91" customFormat="1" ht="25.5" x14ac:dyDescent="0.25">
      <c r="A705" s="233" t="s">
        <v>168</v>
      </c>
      <c r="B705" s="234" t="s">
        <v>250</v>
      </c>
      <c r="C705" s="92"/>
      <c r="D705" s="93"/>
      <c r="E705" s="107"/>
      <c r="F705" s="107"/>
      <c r="G705" s="107"/>
      <c r="H705" s="111">
        <v>9048810</v>
      </c>
      <c r="I705" s="20"/>
      <c r="J705" s="20">
        <f>9048.81*1000</f>
        <v>9048810</v>
      </c>
      <c r="K705" s="20" t="s">
        <v>19</v>
      </c>
      <c r="L705" s="20">
        <f>H705-J705</f>
        <v>0</v>
      </c>
      <c r="M705" s="95">
        <v>122611370</v>
      </c>
      <c r="N705" s="50">
        <f>SUM(O707:O751)-M705</f>
        <v>19</v>
      </c>
      <c r="O705" s="95"/>
      <c r="P705" s="114"/>
      <c r="Q705" s="50"/>
      <c r="R705" s="50"/>
      <c r="S705" s="99"/>
      <c r="T705" s="99"/>
      <c r="U705" s="122"/>
      <c r="V705" s="122"/>
      <c r="W705" s="122"/>
      <c r="X705" s="99"/>
      <c r="Y705" s="6"/>
      <c r="Z705" s="99"/>
      <c r="AA705" s="50"/>
      <c r="AB705" s="50"/>
      <c r="AC705" s="20"/>
      <c r="AD705" s="20"/>
      <c r="AE705" s="97"/>
      <c r="AF705" s="157">
        <f t="shared" si="425"/>
        <v>0</v>
      </c>
    </row>
    <row r="706" spans="1:32" x14ac:dyDescent="0.2">
      <c r="A706" s="23" t="s">
        <v>1050</v>
      </c>
      <c r="B706" s="57" t="s">
        <v>121</v>
      </c>
      <c r="C706" s="186"/>
      <c r="D706" s="15"/>
      <c r="E706" s="18"/>
      <c r="F706" s="18"/>
      <c r="G706" s="225">
        <f>784520.67/SUM(F707:F751)</f>
        <v>9.4928999999999999E-2</v>
      </c>
      <c r="H706" s="31">
        <f>H705-SUM(H707:H751)</f>
        <v>-1</v>
      </c>
      <c r="I706" s="15"/>
      <c r="J706" s="22"/>
      <c r="K706" s="15"/>
      <c r="L706" s="15"/>
      <c r="M706" s="22"/>
      <c r="N706" s="22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6"/>
      <c r="Z706" s="31"/>
      <c r="AA706" s="31"/>
      <c r="AB706" s="31"/>
      <c r="AC706" s="31"/>
      <c r="AD706" s="31"/>
      <c r="AE706" s="25"/>
      <c r="AF706" s="157">
        <f t="shared" si="425"/>
        <v>0</v>
      </c>
    </row>
    <row r="707" spans="1:32" x14ac:dyDescent="0.2">
      <c r="A707" s="64" t="s">
        <v>169</v>
      </c>
      <c r="B707" s="235" t="s">
        <v>123</v>
      </c>
      <c r="C707" s="16" t="s">
        <v>70</v>
      </c>
      <c r="D707" s="15">
        <v>74.12</v>
      </c>
      <c r="E707" s="18"/>
      <c r="F707" s="215">
        <v>428865</v>
      </c>
      <c r="G707" s="215">
        <f>F707*$G$706</f>
        <v>40712</v>
      </c>
      <c r="H707" s="19">
        <f>F707+G707</f>
        <v>469577</v>
      </c>
      <c r="I707" s="15"/>
      <c r="J707" s="22"/>
      <c r="K707" s="15"/>
      <c r="L707" s="15"/>
      <c r="M707" s="22"/>
      <c r="N707" s="22"/>
      <c r="O707" s="22">
        <f>(H707)*13.55</f>
        <v>6362768</v>
      </c>
      <c r="P707" s="19">
        <f>O707*10.1%</f>
        <v>642640</v>
      </c>
      <c r="Q707" s="19">
        <f>SUM(O707:P707)</f>
        <v>7005408</v>
      </c>
      <c r="R707" s="6">
        <f>Q707*1.05%</f>
        <v>73557</v>
      </c>
      <c r="S707" s="6"/>
      <c r="T707" s="6"/>
      <c r="U707" s="122">
        <f t="shared" ref="U707:U712" si="426">Q707*$U$6</f>
        <v>538485</v>
      </c>
      <c r="V707" s="122">
        <f t="shared" ref="V707:V712" si="427">Q707*$V$6</f>
        <v>8248</v>
      </c>
      <c r="W707" s="122">
        <f t="shared" ref="W707:W712" si="428">Q707*$W$6</f>
        <v>632357</v>
      </c>
      <c r="X707" s="6"/>
      <c r="Y707" s="6"/>
      <c r="Z707" s="6"/>
      <c r="AA707" s="19">
        <f t="shared" ref="AA707:AA712" si="429">SUM(Q707:Z707)</f>
        <v>8258055</v>
      </c>
      <c r="AB707" s="19">
        <f t="shared" ref="AB707:AB712" si="430">$AA707*AB$7</f>
        <v>8899045</v>
      </c>
      <c r="AC707" s="15">
        <f t="shared" ref="AC707:AC712" si="431">AB707/D707</f>
        <v>120062.67</v>
      </c>
      <c r="AD707" s="15">
        <f t="shared" ref="AD707:AD712" si="432">AC707*D707</f>
        <v>8899045.0999999996</v>
      </c>
      <c r="AE707" s="25"/>
      <c r="AF707" s="157">
        <f t="shared" si="425"/>
        <v>0.1</v>
      </c>
    </row>
    <row r="708" spans="1:32" s="4" customFormat="1" x14ac:dyDescent="0.25">
      <c r="A708" s="64" t="s">
        <v>1029</v>
      </c>
      <c r="B708" s="69" t="s">
        <v>867</v>
      </c>
      <c r="C708" s="12" t="s">
        <v>70</v>
      </c>
      <c r="D708" s="13">
        <v>93.9</v>
      </c>
      <c r="E708" s="18"/>
      <c r="F708" s="215">
        <v>74087</v>
      </c>
      <c r="G708" s="215">
        <f t="shared" ref="G708:G751" si="433">F708*$G$706</f>
        <v>7033</v>
      </c>
      <c r="H708" s="19">
        <f t="shared" ref="H708:H751" si="434">F708+G708</f>
        <v>81120</v>
      </c>
      <c r="I708" s="15"/>
      <c r="J708" s="22"/>
      <c r="K708" s="15"/>
      <c r="L708" s="15"/>
      <c r="M708" s="22"/>
      <c r="N708" s="22"/>
      <c r="O708" s="22">
        <f t="shared" ref="O708:O751" si="435">(H708)*13.55</f>
        <v>1099176</v>
      </c>
      <c r="P708" s="19">
        <f t="shared" ref="P708:P751" si="436">O708*10.1%</f>
        <v>111017</v>
      </c>
      <c r="Q708" s="19">
        <f t="shared" ref="Q708:Q751" si="437">SUM(O708:P708)</f>
        <v>1210193</v>
      </c>
      <c r="R708" s="6">
        <f t="shared" ref="R708:R751" si="438">Q708*1.05%</f>
        <v>12707</v>
      </c>
      <c r="S708" s="6"/>
      <c r="T708" s="6"/>
      <c r="U708" s="122">
        <f t="shared" si="426"/>
        <v>93024</v>
      </c>
      <c r="V708" s="122">
        <f t="shared" si="427"/>
        <v>1425</v>
      </c>
      <c r="W708" s="122">
        <f t="shared" si="428"/>
        <v>109240</v>
      </c>
      <c r="X708" s="6"/>
      <c r="Y708" s="6"/>
      <c r="Z708" s="6"/>
      <c r="AA708" s="19">
        <f t="shared" si="429"/>
        <v>1426589</v>
      </c>
      <c r="AB708" s="19">
        <f t="shared" si="430"/>
        <v>1537321</v>
      </c>
      <c r="AC708" s="15">
        <f t="shared" si="431"/>
        <v>16371.9</v>
      </c>
      <c r="AD708" s="15">
        <f t="shared" si="432"/>
        <v>1537321.41</v>
      </c>
      <c r="AE708" s="25"/>
      <c r="AF708" s="157">
        <f t="shared" si="425"/>
        <v>0.41</v>
      </c>
    </row>
    <row r="709" spans="1:32" s="4" customFormat="1" x14ac:dyDescent="0.25">
      <c r="A709" s="64" t="s">
        <v>1030</v>
      </c>
      <c r="B709" s="69" t="s">
        <v>1025</v>
      </c>
      <c r="C709" s="12" t="s">
        <v>70</v>
      </c>
      <c r="D709" s="13">
        <v>60.6</v>
      </c>
      <c r="E709" s="18"/>
      <c r="F709" s="215">
        <v>229418</v>
      </c>
      <c r="G709" s="215">
        <f t="shared" si="433"/>
        <v>21778</v>
      </c>
      <c r="H709" s="19">
        <f t="shared" si="434"/>
        <v>251196</v>
      </c>
      <c r="I709" s="15"/>
      <c r="J709" s="22"/>
      <c r="K709" s="15"/>
      <c r="L709" s="15"/>
      <c r="M709" s="22"/>
      <c r="N709" s="22"/>
      <c r="O709" s="22">
        <f t="shared" si="435"/>
        <v>3403706</v>
      </c>
      <c r="P709" s="19">
        <f t="shared" si="436"/>
        <v>343774</v>
      </c>
      <c r="Q709" s="19">
        <f t="shared" si="437"/>
        <v>3747480</v>
      </c>
      <c r="R709" s="6">
        <f t="shared" si="438"/>
        <v>39349</v>
      </c>
      <c r="S709" s="6"/>
      <c r="T709" s="6"/>
      <c r="U709" s="122">
        <f t="shared" si="426"/>
        <v>288058</v>
      </c>
      <c r="V709" s="122">
        <f t="shared" si="427"/>
        <v>4412</v>
      </c>
      <c r="W709" s="122">
        <f t="shared" si="428"/>
        <v>338273</v>
      </c>
      <c r="X709" s="6"/>
      <c r="Y709" s="6"/>
      <c r="Z709" s="6"/>
      <c r="AA709" s="19">
        <f t="shared" si="429"/>
        <v>4417572</v>
      </c>
      <c r="AB709" s="19">
        <f t="shared" si="430"/>
        <v>4760464</v>
      </c>
      <c r="AC709" s="15">
        <f t="shared" si="431"/>
        <v>78555.509999999995</v>
      </c>
      <c r="AD709" s="15">
        <f t="shared" si="432"/>
        <v>4760463.91</v>
      </c>
      <c r="AE709" s="25"/>
      <c r="AF709" s="157">
        <f t="shared" si="425"/>
        <v>-0.09</v>
      </c>
    </row>
    <row r="710" spans="1:32" s="4" customFormat="1" ht="25.5" x14ac:dyDescent="0.25">
      <c r="A710" s="64" t="s">
        <v>1031</v>
      </c>
      <c r="B710" s="69" t="s">
        <v>871</v>
      </c>
      <c r="C710" s="12" t="s">
        <v>70</v>
      </c>
      <c r="D710" s="13">
        <v>62.9</v>
      </c>
      <c r="E710" s="18"/>
      <c r="F710" s="215">
        <v>480164</v>
      </c>
      <c r="G710" s="215">
        <f t="shared" si="433"/>
        <v>45581</v>
      </c>
      <c r="H710" s="19">
        <f t="shared" si="434"/>
        <v>525745</v>
      </c>
      <c r="I710" s="15"/>
      <c r="J710" s="22"/>
      <c r="K710" s="15"/>
      <c r="L710" s="15"/>
      <c r="M710" s="22"/>
      <c r="N710" s="22"/>
      <c r="O710" s="22">
        <f t="shared" si="435"/>
        <v>7123845</v>
      </c>
      <c r="P710" s="19">
        <f t="shared" si="436"/>
        <v>719508</v>
      </c>
      <c r="Q710" s="19">
        <f t="shared" si="437"/>
        <v>7843353</v>
      </c>
      <c r="R710" s="6">
        <f t="shared" si="438"/>
        <v>82355</v>
      </c>
      <c r="S710" s="6"/>
      <c r="T710" s="6"/>
      <c r="U710" s="122">
        <f t="shared" si="426"/>
        <v>602896</v>
      </c>
      <c r="V710" s="122">
        <f t="shared" si="427"/>
        <v>9235</v>
      </c>
      <c r="W710" s="122">
        <f t="shared" si="428"/>
        <v>707995</v>
      </c>
      <c r="X710" s="6"/>
      <c r="Y710" s="6"/>
      <c r="Z710" s="6"/>
      <c r="AA710" s="19">
        <f t="shared" si="429"/>
        <v>9245834</v>
      </c>
      <c r="AB710" s="19">
        <f t="shared" si="430"/>
        <v>9963496</v>
      </c>
      <c r="AC710" s="15">
        <f t="shared" si="431"/>
        <v>158402.16</v>
      </c>
      <c r="AD710" s="15">
        <f t="shared" si="432"/>
        <v>9963495.8599999994</v>
      </c>
      <c r="AE710" s="25"/>
      <c r="AF710" s="157">
        <f t="shared" si="425"/>
        <v>-0.14000000000000001</v>
      </c>
    </row>
    <row r="711" spans="1:32" s="4" customFormat="1" x14ac:dyDescent="0.25">
      <c r="A711" s="64" t="s">
        <v>1032</v>
      </c>
      <c r="B711" s="69" t="s">
        <v>872</v>
      </c>
      <c r="C711" s="12" t="s">
        <v>72</v>
      </c>
      <c r="D711" s="13">
        <v>89</v>
      </c>
      <c r="E711" s="18"/>
      <c r="F711" s="215">
        <v>7710</v>
      </c>
      <c r="G711" s="215">
        <f t="shared" si="433"/>
        <v>732</v>
      </c>
      <c r="H711" s="19">
        <f t="shared" si="434"/>
        <v>8442</v>
      </c>
      <c r="I711" s="15"/>
      <c r="J711" s="22"/>
      <c r="K711" s="15"/>
      <c r="L711" s="15"/>
      <c r="M711" s="22"/>
      <c r="N711" s="22"/>
      <c r="O711" s="22">
        <f t="shared" si="435"/>
        <v>114389</v>
      </c>
      <c r="P711" s="19">
        <f t="shared" si="436"/>
        <v>11553</v>
      </c>
      <c r="Q711" s="19">
        <f t="shared" si="437"/>
        <v>125942</v>
      </c>
      <c r="R711" s="6">
        <f t="shared" si="438"/>
        <v>1322</v>
      </c>
      <c r="S711" s="6"/>
      <c r="T711" s="6"/>
      <c r="U711" s="122">
        <f t="shared" si="426"/>
        <v>9681</v>
      </c>
      <c r="V711" s="122">
        <f t="shared" si="427"/>
        <v>148</v>
      </c>
      <c r="W711" s="122">
        <f t="shared" si="428"/>
        <v>11368</v>
      </c>
      <c r="X711" s="6"/>
      <c r="Y711" s="6"/>
      <c r="Z711" s="6"/>
      <c r="AA711" s="19">
        <f t="shared" si="429"/>
        <v>148461</v>
      </c>
      <c r="AB711" s="19">
        <f t="shared" si="430"/>
        <v>159985</v>
      </c>
      <c r="AC711" s="15">
        <f t="shared" si="431"/>
        <v>1797.58</v>
      </c>
      <c r="AD711" s="15">
        <f t="shared" si="432"/>
        <v>159984.62</v>
      </c>
      <c r="AE711" s="25"/>
      <c r="AF711" s="157">
        <f t="shared" si="425"/>
        <v>-0.38</v>
      </c>
    </row>
    <row r="712" spans="1:32" s="4" customFormat="1" ht="25.5" x14ac:dyDescent="0.25">
      <c r="A712" s="64" t="s">
        <v>1033</v>
      </c>
      <c r="B712" s="69" t="s">
        <v>873</v>
      </c>
      <c r="C712" s="12" t="s">
        <v>72</v>
      </c>
      <c r="D712" s="13">
        <v>185</v>
      </c>
      <c r="E712" s="18"/>
      <c r="F712" s="215">
        <v>12312</v>
      </c>
      <c r="G712" s="215">
        <f t="shared" si="433"/>
        <v>1169</v>
      </c>
      <c r="H712" s="19">
        <f t="shared" si="434"/>
        <v>13481</v>
      </c>
      <c r="I712" s="15"/>
      <c r="J712" s="22"/>
      <c r="K712" s="15"/>
      <c r="L712" s="15"/>
      <c r="M712" s="22"/>
      <c r="N712" s="22"/>
      <c r="O712" s="22">
        <f t="shared" si="435"/>
        <v>182668</v>
      </c>
      <c r="P712" s="19">
        <f t="shared" si="436"/>
        <v>18449</v>
      </c>
      <c r="Q712" s="19">
        <f t="shared" si="437"/>
        <v>201117</v>
      </c>
      <c r="R712" s="6">
        <f t="shared" si="438"/>
        <v>2112</v>
      </c>
      <c r="S712" s="6"/>
      <c r="T712" s="6"/>
      <c r="U712" s="122">
        <f t="shared" si="426"/>
        <v>15459</v>
      </c>
      <c r="V712" s="122">
        <f t="shared" si="427"/>
        <v>237</v>
      </c>
      <c r="W712" s="122">
        <f t="shared" si="428"/>
        <v>18154</v>
      </c>
      <c r="X712" s="6"/>
      <c r="Y712" s="6"/>
      <c r="Z712" s="6"/>
      <c r="AA712" s="19">
        <f t="shared" si="429"/>
        <v>237079</v>
      </c>
      <c r="AB712" s="19">
        <f t="shared" si="430"/>
        <v>255481</v>
      </c>
      <c r="AC712" s="15">
        <f t="shared" si="431"/>
        <v>1380.98</v>
      </c>
      <c r="AD712" s="15">
        <f t="shared" si="432"/>
        <v>255481.3</v>
      </c>
      <c r="AE712" s="25"/>
      <c r="AF712" s="157">
        <f t="shared" si="425"/>
        <v>0.3</v>
      </c>
    </row>
    <row r="713" spans="1:32" s="4" customFormat="1" x14ac:dyDescent="0.25">
      <c r="A713" s="23" t="s">
        <v>1051</v>
      </c>
      <c r="B713" s="26" t="s">
        <v>874</v>
      </c>
      <c r="C713" s="21"/>
      <c r="D713" s="212"/>
      <c r="E713" s="213"/>
      <c r="F713" s="216"/>
      <c r="G713" s="215"/>
      <c r="H713" s="19"/>
      <c r="I713" s="32"/>
      <c r="J713" s="22"/>
      <c r="K713" s="15"/>
      <c r="L713" s="15"/>
      <c r="M713" s="31"/>
      <c r="N713" s="31"/>
      <c r="O713" s="22"/>
      <c r="P713" s="19"/>
      <c r="Q713" s="19"/>
      <c r="R713" s="6"/>
      <c r="S713" s="6"/>
      <c r="T713" s="6"/>
      <c r="U713" s="122"/>
      <c r="V713" s="122"/>
      <c r="W713" s="122"/>
      <c r="X713" s="6"/>
      <c r="Y713" s="6"/>
      <c r="Z713" s="6"/>
      <c r="AA713" s="19"/>
      <c r="AB713" s="19"/>
      <c r="AC713" s="15"/>
      <c r="AD713" s="15"/>
      <c r="AE713" s="25"/>
      <c r="AF713" s="157">
        <f t="shared" si="425"/>
        <v>0</v>
      </c>
    </row>
    <row r="714" spans="1:32" s="4" customFormat="1" x14ac:dyDescent="0.25">
      <c r="A714" s="64" t="s">
        <v>1052</v>
      </c>
      <c r="B714" s="69" t="s">
        <v>123</v>
      </c>
      <c r="C714" s="12" t="s">
        <v>70</v>
      </c>
      <c r="D714" s="89">
        <v>97.27</v>
      </c>
      <c r="E714" s="18"/>
      <c r="F714" s="215">
        <v>766673</v>
      </c>
      <c r="G714" s="215">
        <f t="shared" si="433"/>
        <v>72780</v>
      </c>
      <c r="H714" s="19">
        <f t="shared" si="434"/>
        <v>839453</v>
      </c>
      <c r="I714" s="15"/>
      <c r="J714" s="22"/>
      <c r="K714" s="15"/>
      <c r="L714" s="15"/>
      <c r="M714" s="22"/>
      <c r="N714" s="22"/>
      <c r="O714" s="22">
        <f t="shared" si="435"/>
        <v>11374588</v>
      </c>
      <c r="P714" s="19">
        <f t="shared" si="436"/>
        <v>1148833</v>
      </c>
      <c r="Q714" s="19">
        <f t="shared" si="437"/>
        <v>12523421</v>
      </c>
      <c r="R714" s="6">
        <f t="shared" si="438"/>
        <v>131496</v>
      </c>
      <c r="S714" s="6"/>
      <c r="T714" s="6"/>
      <c r="U714" s="122">
        <f t="shared" ref="U714:U719" si="439">Q714*$U$6</f>
        <v>962639</v>
      </c>
      <c r="V714" s="122">
        <f t="shared" ref="V714:V719" si="440">Q714*$V$6</f>
        <v>14746</v>
      </c>
      <c r="W714" s="122">
        <f t="shared" ref="W714:W719" si="441">Q714*$W$6</f>
        <v>1130451</v>
      </c>
      <c r="X714" s="6"/>
      <c r="Y714" s="6"/>
      <c r="Z714" s="6"/>
      <c r="AA714" s="19">
        <f t="shared" ref="AA714:AA719" si="442">SUM(Q714:Z714)</f>
        <v>14762753</v>
      </c>
      <c r="AB714" s="19">
        <f t="shared" ref="AB714:AB719" si="443">$AA714*AB$7</f>
        <v>15908638</v>
      </c>
      <c r="AC714" s="15">
        <f t="shared" ref="AC714:AC719" si="444">AB714/D714</f>
        <v>163551.32999999999</v>
      </c>
      <c r="AD714" s="15">
        <f t="shared" ref="AD714:AD719" si="445">AC714*D714</f>
        <v>15908637.869999999</v>
      </c>
      <c r="AE714" s="25"/>
      <c r="AF714" s="157">
        <f t="shared" si="425"/>
        <v>-0.13</v>
      </c>
    </row>
    <row r="715" spans="1:32" s="4" customFormat="1" x14ac:dyDescent="0.25">
      <c r="A715" s="64" t="s">
        <v>1053</v>
      </c>
      <c r="B715" s="69" t="s">
        <v>867</v>
      </c>
      <c r="C715" s="12" t="s">
        <v>70</v>
      </c>
      <c r="D715" s="13">
        <v>12</v>
      </c>
      <c r="E715" s="18"/>
      <c r="F715" s="215">
        <v>9468</v>
      </c>
      <c r="G715" s="215">
        <f t="shared" si="433"/>
        <v>899</v>
      </c>
      <c r="H715" s="19">
        <f t="shared" si="434"/>
        <v>10367</v>
      </c>
      <c r="I715" s="15"/>
      <c r="J715" s="22"/>
      <c r="K715" s="15"/>
      <c r="L715" s="15"/>
      <c r="M715" s="22"/>
      <c r="N715" s="22"/>
      <c r="O715" s="22">
        <f t="shared" si="435"/>
        <v>140473</v>
      </c>
      <c r="P715" s="19">
        <f t="shared" si="436"/>
        <v>14188</v>
      </c>
      <c r="Q715" s="19">
        <f t="shared" si="437"/>
        <v>154661</v>
      </c>
      <c r="R715" s="6">
        <f t="shared" si="438"/>
        <v>1624</v>
      </c>
      <c r="S715" s="6"/>
      <c r="T715" s="6"/>
      <c r="U715" s="122">
        <f t="shared" si="439"/>
        <v>11888</v>
      </c>
      <c r="V715" s="122">
        <f t="shared" si="440"/>
        <v>182</v>
      </c>
      <c r="W715" s="122">
        <f t="shared" si="441"/>
        <v>13961</v>
      </c>
      <c r="X715" s="6"/>
      <c r="Y715" s="6"/>
      <c r="Z715" s="6"/>
      <c r="AA715" s="19">
        <f t="shared" si="442"/>
        <v>182316</v>
      </c>
      <c r="AB715" s="19">
        <f t="shared" si="443"/>
        <v>196467</v>
      </c>
      <c r="AC715" s="15">
        <f t="shared" si="444"/>
        <v>16372.25</v>
      </c>
      <c r="AD715" s="15">
        <f t="shared" si="445"/>
        <v>196467</v>
      </c>
      <c r="AE715" s="25"/>
      <c r="AF715" s="157">
        <f t="shared" si="425"/>
        <v>0</v>
      </c>
    </row>
    <row r="716" spans="1:32" s="4" customFormat="1" x14ac:dyDescent="0.25">
      <c r="A716" s="64" t="s">
        <v>1054</v>
      </c>
      <c r="B716" s="69" t="s">
        <v>868</v>
      </c>
      <c r="C716" s="12" t="s">
        <v>70</v>
      </c>
      <c r="D716" s="13">
        <v>141.19999999999999</v>
      </c>
      <c r="E716" s="18"/>
      <c r="F716" s="215">
        <v>407691</v>
      </c>
      <c r="G716" s="215">
        <f t="shared" si="433"/>
        <v>38702</v>
      </c>
      <c r="H716" s="19">
        <f t="shared" si="434"/>
        <v>446393</v>
      </c>
      <c r="I716" s="15"/>
      <c r="J716" s="22"/>
      <c r="K716" s="15"/>
      <c r="L716" s="15"/>
      <c r="M716" s="22"/>
      <c r="N716" s="22"/>
      <c r="O716" s="22">
        <f t="shared" si="435"/>
        <v>6048625</v>
      </c>
      <c r="P716" s="19">
        <f t="shared" si="436"/>
        <v>610911</v>
      </c>
      <c r="Q716" s="19">
        <f t="shared" si="437"/>
        <v>6659536</v>
      </c>
      <c r="R716" s="6">
        <f t="shared" si="438"/>
        <v>69925</v>
      </c>
      <c r="S716" s="6"/>
      <c r="T716" s="6"/>
      <c r="U716" s="122">
        <f t="shared" si="439"/>
        <v>511899</v>
      </c>
      <c r="V716" s="122">
        <f t="shared" si="440"/>
        <v>7841</v>
      </c>
      <c r="W716" s="122">
        <f t="shared" si="441"/>
        <v>601136</v>
      </c>
      <c r="X716" s="6"/>
      <c r="Y716" s="6"/>
      <c r="Z716" s="6"/>
      <c r="AA716" s="19">
        <f t="shared" si="442"/>
        <v>7850337</v>
      </c>
      <c r="AB716" s="19">
        <f t="shared" si="443"/>
        <v>8459680</v>
      </c>
      <c r="AC716" s="15">
        <f t="shared" si="444"/>
        <v>59912.75</v>
      </c>
      <c r="AD716" s="15">
        <f t="shared" si="445"/>
        <v>8459680.3000000007</v>
      </c>
      <c r="AE716" s="25"/>
      <c r="AF716" s="157">
        <f t="shared" si="425"/>
        <v>0.3</v>
      </c>
    </row>
    <row r="717" spans="1:32" s="4" customFormat="1" x14ac:dyDescent="0.25">
      <c r="A717" s="64" t="s">
        <v>1055</v>
      </c>
      <c r="B717" s="69" t="s">
        <v>869</v>
      </c>
      <c r="C717" s="12" t="s">
        <v>70</v>
      </c>
      <c r="D717" s="13">
        <v>44.4</v>
      </c>
      <c r="E717" s="18"/>
      <c r="F717" s="215">
        <v>486603</v>
      </c>
      <c r="G717" s="215">
        <f t="shared" si="433"/>
        <v>46193</v>
      </c>
      <c r="H717" s="19">
        <f t="shared" si="434"/>
        <v>532796</v>
      </c>
      <c r="I717" s="15"/>
      <c r="J717" s="22"/>
      <c r="K717" s="15"/>
      <c r="L717" s="15"/>
      <c r="M717" s="22"/>
      <c r="N717" s="22"/>
      <c r="O717" s="22">
        <f t="shared" si="435"/>
        <v>7219386</v>
      </c>
      <c r="P717" s="19">
        <f t="shared" si="436"/>
        <v>729158</v>
      </c>
      <c r="Q717" s="19">
        <f t="shared" si="437"/>
        <v>7948544</v>
      </c>
      <c r="R717" s="6">
        <f t="shared" si="438"/>
        <v>83460</v>
      </c>
      <c r="S717" s="6"/>
      <c r="T717" s="6"/>
      <c r="U717" s="122">
        <f t="shared" si="439"/>
        <v>610981</v>
      </c>
      <c r="V717" s="122">
        <f t="shared" si="440"/>
        <v>9359</v>
      </c>
      <c r="W717" s="122">
        <f t="shared" si="441"/>
        <v>717491</v>
      </c>
      <c r="X717" s="6"/>
      <c r="Y717" s="6"/>
      <c r="Z717" s="6"/>
      <c r="AA717" s="19">
        <f t="shared" si="442"/>
        <v>9369835</v>
      </c>
      <c r="AB717" s="19">
        <f t="shared" si="443"/>
        <v>10097122</v>
      </c>
      <c r="AC717" s="15">
        <f t="shared" si="444"/>
        <v>227412.66</v>
      </c>
      <c r="AD717" s="15">
        <f t="shared" si="445"/>
        <v>10097122.1</v>
      </c>
      <c r="AE717" s="25"/>
      <c r="AF717" s="157">
        <f t="shared" si="425"/>
        <v>0.1</v>
      </c>
    </row>
    <row r="718" spans="1:32" s="4" customFormat="1" ht="25.5" x14ac:dyDescent="0.25">
      <c r="A718" s="64" t="s">
        <v>1056</v>
      </c>
      <c r="B718" s="69" t="s">
        <v>875</v>
      </c>
      <c r="C718" s="12" t="s">
        <v>70</v>
      </c>
      <c r="D718" s="13">
        <v>73.8</v>
      </c>
      <c r="E718" s="18"/>
      <c r="F718" s="215">
        <v>788909</v>
      </c>
      <c r="G718" s="215">
        <f t="shared" si="433"/>
        <v>74890</v>
      </c>
      <c r="H718" s="19">
        <f t="shared" si="434"/>
        <v>863799</v>
      </c>
      <c r="I718" s="15"/>
      <c r="J718" s="22"/>
      <c r="K718" s="15"/>
      <c r="L718" s="15"/>
      <c r="M718" s="22"/>
      <c r="N718" s="22"/>
      <c r="O718" s="22">
        <f t="shared" si="435"/>
        <v>11704476</v>
      </c>
      <c r="P718" s="19">
        <f t="shared" si="436"/>
        <v>1182152</v>
      </c>
      <c r="Q718" s="19">
        <f t="shared" si="437"/>
        <v>12886628</v>
      </c>
      <c r="R718" s="6">
        <f t="shared" si="438"/>
        <v>135310</v>
      </c>
      <c r="S718" s="6"/>
      <c r="T718" s="6"/>
      <c r="U718" s="122">
        <f t="shared" si="439"/>
        <v>990557</v>
      </c>
      <c r="V718" s="122">
        <f t="shared" si="440"/>
        <v>15173</v>
      </c>
      <c r="W718" s="122">
        <f t="shared" si="441"/>
        <v>1163236</v>
      </c>
      <c r="X718" s="6"/>
      <c r="Y718" s="6"/>
      <c r="Z718" s="6"/>
      <c r="AA718" s="19">
        <f t="shared" si="442"/>
        <v>15190904</v>
      </c>
      <c r="AB718" s="19">
        <f t="shared" si="443"/>
        <v>16370022</v>
      </c>
      <c r="AC718" s="15">
        <f t="shared" si="444"/>
        <v>221816.02</v>
      </c>
      <c r="AD718" s="15">
        <f t="shared" si="445"/>
        <v>16370022.279999999</v>
      </c>
      <c r="AE718" s="25"/>
      <c r="AF718" s="157">
        <f t="shared" si="425"/>
        <v>0.28000000000000003</v>
      </c>
    </row>
    <row r="719" spans="1:32" s="4" customFormat="1" ht="25.5" x14ac:dyDescent="0.25">
      <c r="A719" s="64" t="s">
        <v>1057</v>
      </c>
      <c r="B719" s="69" t="s">
        <v>876</v>
      </c>
      <c r="C719" s="12" t="s">
        <v>72</v>
      </c>
      <c r="D719" s="13">
        <v>271</v>
      </c>
      <c r="E719" s="18"/>
      <c r="F719" s="215">
        <v>13838</v>
      </c>
      <c r="G719" s="215">
        <f t="shared" si="433"/>
        <v>1314</v>
      </c>
      <c r="H719" s="19">
        <f t="shared" si="434"/>
        <v>15152</v>
      </c>
      <c r="I719" s="15"/>
      <c r="J719" s="22"/>
      <c r="K719" s="15"/>
      <c r="L719" s="15"/>
      <c r="M719" s="22"/>
      <c r="N719" s="22"/>
      <c r="O719" s="22">
        <f t="shared" si="435"/>
        <v>205310</v>
      </c>
      <c r="P719" s="19">
        <f t="shared" si="436"/>
        <v>20736</v>
      </c>
      <c r="Q719" s="19">
        <f t="shared" si="437"/>
        <v>226046</v>
      </c>
      <c r="R719" s="6">
        <f t="shared" si="438"/>
        <v>2373</v>
      </c>
      <c r="S719" s="6"/>
      <c r="T719" s="6"/>
      <c r="U719" s="122">
        <f t="shared" si="439"/>
        <v>17375</v>
      </c>
      <c r="V719" s="122">
        <f t="shared" si="440"/>
        <v>266</v>
      </c>
      <c r="W719" s="122">
        <f t="shared" si="441"/>
        <v>20404</v>
      </c>
      <c r="X719" s="6"/>
      <c r="Y719" s="6"/>
      <c r="Z719" s="6"/>
      <c r="AA719" s="19">
        <f t="shared" si="442"/>
        <v>266464</v>
      </c>
      <c r="AB719" s="19">
        <f t="shared" si="443"/>
        <v>287147</v>
      </c>
      <c r="AC719" s="15">
        <f t="shared" si="444"/>
        <v>1059.58</v>
      </c>
      <c r="AD719" s="15">
        <f t="shared" si="445"/>
        <v>287146.18</v>
      </c>
      <c r="AE719" s="25"/>
      <c r="AF719" s="157">
        <f t="shared" si="425"/>
        <v>-0.82</v>
      </c>
    </row>
    <row r="720" spans="1:32" s="4" customFormat="1" ht="25.5" x14ac:dyDescent="0.25">
      <c r="A720" s="23" t="s">
        <v>1058</v>
      </c>
      <c r="B720" s="26" t="s">
        <v>877</v>
      </c>
      <c r="C720" s="21"/>
      <c r="D720" s="212"/>
      <c r="E720" s="213"/>
      <c r="F720" s="216"/>
      <c r="G720" s="215"/>
      <c r="H720" s="19"/>
      <c r="I720" s="32"/>
      <c r="J720" s="22"/>
      <c r="K720" s="15"/>
      <c r="L720" s="15"/>
      <c r="M720" s="31"/>
      <c r="N720" s="31"/>
      <c r="O720" s="22"/>
      <c r="P720" s="19"/>
      <c r="Q720" s="19"/>
      <c r="R720" s="6"/>
      <c r="S720" s="6"/>
      <c r="T720" s="6"/>
      <c r="U720" s="122"/>
      <c r="V720" s="122"/>
      <c r="W720" s="122"/>
      <c r="X720" s="6"/>
      <c r="Y720" s="6"/>
      <c r="Z720" s="6"/>
      <c r="AA720" s="19"/>
      <c r="AB720" s="19"/>
      <c r="AC720" s="15"/>
      <c r="AD720" s="15"/>
      <c r="AE720" s="25"/>
      <c r="AF720" s="157">
        <f t="shared" si="425"/>
        <v>0</v>
      </c>
    </row>
    <row r="721" spans="1:32" s="4" customFormat="1" x14ac:dyDescent="0.25">
      <c r="A721" s="64" t="s">
        <v>1059</v>
      </c>
      <c r="B721" s="69" t="s">
        <v>878</v>
      </c>
      <c r="C721" s="12" t="s">
        <v>311</v>
      </c>
      <c r="D721" s="13">
        <v>1.66</v>
      </c>
      <c r="E721" s="18"/>
      <c r="F721" s="215">
        <v>48883</v>
      </c>
      <c r="G721" s="215">
        <f t="shared" si="433"/>
        <v>4640</v>
      </c>
      <c r="H721" s="19">
        <f t="shared" si="434"/>
        <v>53523</v>
      </c>
      <c r="I721" s="15"/>
      <c r="J721" s="22"/>
      <c r="K721" s="15"/>
      <c r="L721" s="15"/>
      <c r="M721" s="22"/>
      <c r="N721" s="22"/>
      <c r="O721" s="22">
        <f t="shared" si="435"/>
        <v>725237</v>
      </c>
      <c r="P721" s="19">
        <f t="shared" si="436"/>
        <v>73249</v>
      </c>
      <c r="Q721" s="19">
        <f t="shared" si="437"/>
        <v>798486</v>
      </c>
      <c r="R721" s="6">
        <f t="shared" si="438"/>
        <v>8384</v>
      </c>
      <c r="S721" s="6"/>
      <c r="T721" s="6"/>
      <c r="U721" s="122">
        <f t="shared" ref="U721:U727" si="446">Q721*$U$6</f>
        <v>61377</v>
      </c>
      <c r="V721" s="122">
        <f t="shared" ref="V721:V727" si="447">Q721*$V$6</f>
        <v>940</v>
      </c>
      <c r="W721" s="122">
        <f t="shared" ref="W721:W727" si="448">Q721*$W$6</f>
        <v>72077</v>
      </c>
      <c r="X721" s="6"/>
      <c r="Y721" s="6"/>
      <c r="Z721" s="6"/>
      <c r="AA721" s="19">
        <f t="shared" ref="AA721:AA727" si="449">SUM(Q721:Z721)</f>
        <v>941264</v>
      </c>
      <c r="AB721" s="19">
        <f t="shared" ref="AB721:AB727" si="450">$AA721*AB$7</f>
        <v>1014325</v>
      </c>
      <c r="AC721" s="15">
        <f t="shared" ref="AC721:AC727" si="451">AB721/D721</f>
        <v>611039.16</v>
      </c>
      <c r="AD721" s="15">
        <f t="shared" ref="AD721:AD727" si="452">AC721*D721</f>
        <v>1014325.01</v>
      </c>
      <c r="AE721" s="25"/>
      <c r="AF721" s="157">
        <f t="shared" si="425"/>
        <v>0.01</v>
      </c>
    </row>
    <row r="722" spans="1:32" s="4" customFormat="1" x14ac:dyDescent="0.25">
      <c r="A722" s="64" t="s">
        <v>1060</v>
      </c>
      <c r="B722" s="172" t="s">
        <v>879</v>
      </c>
      <c r="C722" s="12" t="s">
        <v>67</v>
      </c>
      <c r="D722" s="89">
        <v>40</v>
      </c>
      <c r="E722" s="18"/>
      <c r="F722" s="215">
        <v>307849</v>
      </c>
      <c r="G722" s="215">
        <f t="shared" si="433"/>
        <v>29224</v>
      </c>
      <c r="H722" s="19">
        <f t="shared" si="434"/>
        <v>337073</v>
      </c>
      <c r="I722" s="15"/>
      <c r="J722" s="22"/>
      <c r="K722" s="15"/>
      <c r="L722" s="15"/>
      <c r="M722" s="22"/>
      <c r="N722" s="22"/>
      <c r="O722" s="22">
        <f t="shared" si="435"/>
        <v>4567339</v>
      </c>
      <c r="P722" s="19">
        <f t="shared" si="436"/>
        <v>461301</v>
      </c>
      <c r="Q722" s="19">
        <f t="shared" si="437"/>
        <v>5028640</v>
      </c>
      <c r="R722" s="6">
        <f t="shared" si="438"/>
        <v>52801</v>
      </c>
      <c r="S722" s="6"/>
      <c r="T722" s="6"/>
      <c r="U722" s="122">
        <f t="shared" si="446"/>
        <v>386537</v>
      </c>
      <c r="V722" s="122">
        <f t="shared" si="447"/>
        <v>5921</v>
      </c>
      <c r="W722" s="122">
        <f t="shared" si="448"/>
        <v>453920</v>
      </c>
      <c r="X722" s="6"/>
      <c r="Y722" s="6"/>
      <c r="Z722" s="6"/>
      <c r="AA722" s="19">
        <f t="shared" si="449"/>
        <v>5927819</v>
      </c>
      <c r="AB722" s="19">
        <f t="shared" si="450"/>
        <v>6387936</v>
      </c>
      <c r="AC722" s="15">
        <f t="shared" si="451"/>
        <v>159698.4</v>
      </c>
      <c r="AD722" s="15">
        <f t="shared" si="452"/>
        <v>6387936</v>
      </c>
      <c r="AE722" s="25"/>
      <c r="AF722" s="157">
        <f t="shared" si="425"/>
        <v>0</v>
      </c>
    </row>
    <row r="723" spans="1:32" s="4" customFormat="1" x14ac:dyDescent="0.25">
      <c r="A723" s="64" t="s">
        <v>1061</v>
      </c>
      <c r="B723" s="69" t="s">
        <v>880</v>
      </c>
      <c r="C723" s="12" t="s">
        <v>67</v>
      </c>
      <c r="D723" s="13">
        <v>20</v>
      </c>
      <c r="E723" s="18"/>
      <c r="F723" s="215">
        <v>1735951</v>
      </c>
      <c r="G723" s="215">
        <f t="shared" si="433"/>
        <v>164792</v>
      </c>
      <c r="H723" s="19">
        <f t="shared" si="434"/>
        <v>1900743</v>
      </c>
      <c r="I723" s="15"/>
      <c r="J723" s="22"/>
      <c r="K723" s="15"/>
      <c r="L723" s="15"/>
      <c r="M723" s="22"/>
      <c r="N723" s="22"/>
      <c r="O723" s="22">
        <f t="shared" si="435"/>
        <v>25755068</v>
      </c>
      <c r="P723" s="19">
        <f t="shared" si="436"/>
        <v>2601262</v>
      </c>
      <c r="Q723" s="19">
        <f t="shared" si="437"/>
        <v>28356330</v>
      </c>
      <c r="R723" s="6">
        <f t="shared" si="438"/>
        <v>297741</v>
      </c>
      <c r="S723" s="6"/>
      <c r="T723" s="6"/>
      <c r="U723" s="122">
        <f t="shared" si="446"/>
        <v>2179668</v>
      </c>
      <c r="V723" s="122">
        <f t="shared" si="447"/>
        <v>33388</v>
      </c>
      <c r="W723" s="122">
        <f t="shared" si="448"/>
        <v>2559638</v>
      </c>
      <c r="X723" s="6"/>
      <c r="Y723" s="6"/>
      <c r="Z723" s="6"/>
      <c r="AA723" s="19">
        <f t="shared" si="449"/>
        <v>33426765</v>
      </c>
      <c r="AB723" s="19">
        <f t="shared" si="450"/>
        <v>36021350</v>
      </c>
      <c r="AC723" s="15">
        <f t="shared" si="451"/>
        <v>1801067.5</v>
      </c>
      <c r="AD723" s="15">
        <f t="shared" si="452"/>
        <v>36021350</v>
      </c>
      <c r="AE723" s="25"/>
      <c r="AF723" s="157">
        <f t="shared" si="425"/>
        <v>0</v>
      </c>
    </row>
    <row r="724" spans="1:32" s="4" customFormat="1" x14ac:dyDescent="0.25">
      <c r="A724" s="64" t="s">
        <v>1062</v>
      </c>
      <c r="B724" s="69" t="s">
        <v>881</v>
      </c>
      <c r="C724" s="12" t="s">
        <v>70</v>
      </c>
      <c r="D724" s="13">
        <v>174.8</v>
      </c>
      <c r="E724" s="18"/>
      <c r="F724" s="215">
        <v>1121368</v>
      </c>
      <c r="G724" s="215">
        <f t="shared" si="433"/>
        <v>106450</v>
      </c>
      <c r="H724" s="19">
        <f t="shared" si="434"/>
        <v>1227818</v>
      </c>
      <c r="I724" s="15"/>
      <c r="J724" s="22"/>
      <c r="K724" s="15"/>
      <c r="L724" s="15"/>
      <c r="M724" s="22"/>
      <c r="N724" s="22"/>
      <c r="O724" s="22">
        <f t="shared" si="435"/>
        <v>16636934</v>
      </c>
      <c r="P724" s="19">
        <f t="shared" si="436"/>
        <v>1680330</v>
      </c>
      <c r="Q724" s="19">
        <f t="shared" si="437"/>
        <v>18317264</v>
      </c>
      <c r="R724" s="6">
        <f t="shared" si="438"/>
        <v>192331</v>
      </c>
      <c r="S724" s="6"/>
      <c r="T724" s="6"/>
      <c r="U724" s="122">
        <f t="shared" si="446"/>
        <v>1407994</v>
      </c>
      <c r="V724" s="122">
        <f t="shared" si="447"/>
        <v>21567</v>
      </c>
      <c r="W724" s="122">
        <f t="shared" si="448"/>
        <v>1653443</v>
      </c>
      <c r="X724" s="6"/>
      <c r="Y724" s="6"/>
      <c r="Z724" s="6"/>
      <c r="AA724" s="19">
        <f t="shared" si="449"/>
        <v>21592599</v>
      </c>
      <c r="AB724" s="19">
        <f t="shared" si="450"/>
        <v>23268617</v>
      </c>
      <c r="AC724" s="15">
        <f t="shared" si="451"/>
        <v>133115.66</v>
      </c>
      <c r="AD724" s="15">
        <f t="shared" si="452"/>
        <v>23268617.370000001</v>
      </c>
      <c r="AE724" s="25"/>
      <c r="AF724" s="157">
        <f t="shared" si="425"/>
        <v>0.37</v>
      </c>
    </row>
    <row r="725" spans="1:32" s="4" customFormat="1" x14ac:dyDescent="0.25">
      <c r="A725" s="64" t="s">
        <v>1063</v>
      </c>
      <c r="B725" s="69" t="s">
        <v>882</v>
      </c>
      <c r="C725" s="12" t="s">
        <v>70</v>
      </c>
      <c r="D725" s="13">
        <v>6.3</v>
      </c>
      <c r="E725" s="18"/>
      <c r="F725" s="215">
        <v>37172</v>
      </c>
      <c r="G725" s="215">
        <f t="shared" si="433"/>
        <v>3529</v>
      </c>
      <c r="H725" s="19">
        <f t="shared" si="434"/>
        <v>40701</v>
      </c>
      <c r="I725" s="15"/>
      <c r="J725" s="22"/>
      <c r="K725" s="15"/>
      <c r="L725" s="15"/>
      <c r="M725" s="22"/>
      <c r="N725" s="22"/>
      <c r="O725" s="22">
        <f t="shared" si="435"/>
        <v>551499</v>
      </c>
      <c r="P725" s="19">
        <f t="shared" si="436"/>
        <v>55701</v>
      </c>
      <c r="Q725" s="19">
        <f t="shared" si="437"/>
        <v>607200</v>
      </c>
      <c r="R725" s="6">
        <f t="shared" si="438"/>
        <v>6376</v>
      </c>
      <c r="S725" s="6"/>
      <c r="T725" s="6"/>
      <c r="U725" s="122">
        <f t="shared" si="446"/>
        <v>46674</v>
      </c>
      <c r="V725" s="122">
        <f t="shared" si="447"/>
        <v>715</v>
      </c>
      <c r="W725" s="122">
        <f t="shared" si="448"/>
        <v>54810</v>
      </c>
      <c r="X725" s="6"/>
      <c r="Y725" s="6"/>
      <c r="Z725" s="6"/>
      <c r="AA725" s="19">
        <f t="shared" si="449"/>
        <v>715775</v>
      </c>
      <c r="AB725" s="19">
        <f t="shared" si="450"/>
        <v>771333</v>
      </c>
      <c r="AC725" s="15">
        <f t="shared" si="451"/>
        <v>122433.81</v>
      </c>
      <c r="AD725" s="15">
        <f t="shared" si="452"/>
        <v>771333</v>
      </c>
      <c r="AE725" s="25"/>
      <c r="AF725" s="157">
        <f t="shared" si="425"/>
        <v>0</v>
      </c>
    </row>
    <row r="726" spans="1:32" s="4" customFormat="1" x14ac:dyDescent="0.25">
      <c r="A726" s="64" t="s">
        <v>1064</v>
      </c>
      <c r="B726" s="69" t="s">
        <v>883</v>
      </c>
      <c r="C726" s="12" t="s">
        <v>72</v>
      </c>
      <c r="D726" s="13">
        <v>140</v>
      </c>
      <c r="E726" s="18"/>
      <c r="F726" s="215">
        <v>3967</v>
      </c>
      <c r="G726" s="215">
        <f t="shared" si="433"/>
        <v>377</v>
      </c>
      <c r="H726" s="19">
        <f t="shared" si="434"/>
        <v>4344</v>
      </c>
      <c r="I726" s="15"/>
      <c r="J726" s="22"/>
      <c r="K726" s="15"/>
      <c r="L726" s="15"/>
      <c r="M726" s="22"/>
      <c r="N726" s="22"/>
      <c r="O726" s="22">
        <f t="shared" si="435"/>
        <v>58861</v>
      </c>
      <c r="P726" s="19">
        <f t="shared" si="436"/>
        <v>5945</v>
      </c>
      <c r="Q726" s="19">
        <f t="shared" si="437"/>
        <v>64806</v>
      </c>
      <c r="R726" s="6">
        <f t="shared" si="438"/>
        <v>680</v>
      </c>
      <c r="S726" s="6"/>
      <c r="T726" s="6"/>
      <c r="U726" s="122">
        <f t="shared" si="446"/>
        <v>4981</v>
      </c>
      <c r="V726" s="122">
        <f t="shared" si="447"/>
        <v>76</v>
      </c>
      <c r="W726" s="122">
        <f t="shared" si="448"/>
        <v>5850</v>
      </c>
      <c r="X726" s="6"/>
      <c r="Y726" s="6"/>
      <c r="Z726" s="6"/>
      <c r="AA726" s="19">
        <f t="shared" si="449"/>
        <v>76393</v>
      </c>
      <c r="AB726" s="19">
        <f t="shared" si="450"/>
        <v>82323</v>
      </c>
      <c r="AC726" s="15">
        <f t="shared" si="451"/>
        <v>588.02</v>
      </c>
      <c r="AD726" s="15">
        <f t="shared" si="452"/>
        <v>82322.8</v>
      </c>
      <c r="AE726" s="25"/>
      <c r="AF726" s="157">
        <f t="shared" si="425"/>
        <v>-0.2</v>
      </c>
    </row>
    <row r="727" spans="1:32" s="4" customFormat="1" ht="25.5" x14ac:dyDescent="0.25">
      <c r="A727" s="64" t="s">
        <v>1065</v>
      </c>
      <c r="B727" s="69" t="s">
        <v>884</v>
      </c>
      <c r="C727" s="12" t="s">
        <v>72</v>
      </c>
      <c r="D727" s="13">
        <v>1923</v>
      </c>
      <c r="E727" s="18"/>
      <c r="F727" s="215">
        <v>128001</v>
      </c>
      <c r="G727" s="215">
        <f t="shared" si="433"/>
        <v>12151</v>
      </c>
      <c r="H727" s="19">
        <f t="shared" si="434"/>
        <v>140152</v>
      </c>
      <c r="I727" s="15"/>
      <c r="J727" s="22"/>
      <c r="K727" s="15"/>
      <c r="L727" s="15"/>
      <c r="M727" s="22"/>
      <c r="N727" s="22"/>
      <c r="O727" s="22">
        <f t="shared" si="435"/>
        <v>1899060</v>
      </c>
      <c r="P727" s="19">
        <f t="shared" si="436"/>
        <v>191805</v>
      </c>
      <c r="Q727" s="19">
        <f t="shared" si="437"/>
        <v>2090865</v>
      </c>
      <c r="R727" s="6">
        <f t="shared" si="438"/>
        <v>21954</v>
      </c>
      <c r="S727" s="6"/>
      <c r="T727" s="6"/>
      <c r="U727" s="122">
        <f t="shared" si="446"/>
        <v>160719</v>
      </c>
      <c r="V727" s="122">
        <f t="shared" si="447"/>
        <v>2462</v>
      </c>
      <c r="W727" s="122">
        <f t="shared" si="448"/>
        <v>188736</v>
      </c>
      <c r="X727" s="6"/>
      <c r="Y727" s="6"/>
      <c r="Z727" s="6"/>
      <c r="AA727" s="19">
        <f t="shared" si="449"/>
        <v>2464736</v>
      </c>
      <c r="AB727" s="19">
        <f t="shared" si="450"/>
        <v>2656049</v>
      </c>
      <c r="AC727" s="15">
        <f t="shared" si="451"/>
        <v>1381.2</v>
      </c>
      <c r="AD727" s="15">
        <f t="shared" si="452"/>
        <v>2656047.6</v>
      </c>
      <c r="AE727" s="25"/>
      <c r="AF727" s="157">
        <f t="shared" si="425"/>
        <v>-1.4</v>
      </c>
    </row>
    <row r="728" spans="1:32" s="4" customFormat="1" x14ac:dyDescent="0.25">
      <c r="A728" s="23" t="s">
        <v>1066</v>
      </c>
      <c r="B728" s="26" t="s">
        <v>885</v>
      </c>
      <c r="C728" s="21"/>
      <c r="D728" s="212"/>
      <c r="E728" s="213"/>
      <c r="F728" s="216"/>
      <c r="G728" s="215"/>
      <c r="H728" s="19"/>
      <c r="I728" s="32"/>
      <c r="J728" s="22"/>
      <c r="K728" s="15"/>
      <c r="L728" s="15"/>
      <c r="M728" s="31"/>
      <c r="N728" s="31"/>
      <c r="O728" s="22"/>
      <c r="P728" s="19"/>
      <c r="Q728" s="19"/>
      <c r="R728" s="6"/>
      <c r="S728" s="6"/>
      <c r="T728" s="6"/>
      <c r="U728" s="122"/>
      <c r="V728" s="122"/>
      <c r="W728" s="122"/>
      <c r="X728" s="6"/>
      <c r="Y728" s="6"/>
      <c r="Z728" s="6"/>
      <c r="AA728" s="19"/>
      <c r="AB728" s="19"/>
      <c r="AC728" s="15"/>
      <c r="AD728" s="15"/>
      <c r="AE728" s="25"/>
      <c r="AF728" s="157">
        <f t="shared" si="425"/>
        <v>0</v>
      </c>
    </row>
    <row r="729" spans="1:32" s="4" customFormat="1" x14ac:dyDescent="0.25">
      <c r="A729" s="64" t="s">
        <v>1067</v>
      </c>
      <c r="B729" s="69" t="s">
        <v>886</v>
      </c>
      <c r="C729" s="12" t="s">
        <v>72</v>
      </c>
      <c r="D729" s="13">
        <v>593.5</v>
      </c>
      <c r="E729" s="18"/>
      <c r="F729" s="215">
        <v>87129</v>
      </c>
      <c r="G729" s="215">
        <f t="shared" si="433"/>
        <v>8271</v>
      </c>
      <c r="H729" s="19">
        <f t="shared" si="434"/>
        <v>95400</v>
      </c>
      <c r="I729" s="15"/>
      <c r="J729" s="22"/>
      <c r="K729" s="15"/>
      <c r="L729" s="15"/>
      <c r="M729" s="22"/>
      <c r="N729" s="22"/>
      <c r="O729" s="22">
        <f t="shared" si="435"/>
        <v>1292670</v>
      </c>
      <c r="P729" s="19">
        <f t="shared" si="436"/>
        <v>130560</v>
      </c>
      <c r="Q729" s="19">
        <f t="shared" si="437"/>
        <v>1423230</v>
      </c>
      <c r="R729" s="6">
        <f t="shared" si="438"/>
        <v>14944</v>
      </c>
      <c r="S729" s="6"/>
      <c r="T729" s="6"/>
      <c r="U729" s="122">
        <f t="shared" ref="U729:U735" si="453">Q729*$U$6</f>
        <v>109400</v>
      </c>
      <c r="V729" s="122">
        <f t="shared" ref="V729:V735" si="454">Q729*$V$6</f>
        <v>1676</v>
      </c>
      <c r="W729" s="122">
        <f t="shared" ref="W729:W735" si="455">Q729*$W$6</f>
        <v>128471</v>
      </c>
      <c r="X729" s="6"/>
      <c r="Y729" s="6"/>
      <c r="Z729" s="6"/>
      <c r="AA729" s="19">
        <f t="shared" ref="AA729:AA735" si="456">SUM(Q729:Z729)</f>
        <v>1677721</v>
      </c>
      <c r="AB729" s="19">
        <f t="shared" ref="AB729:AB735" si="457">$AA729*AB$7</f>
        <v>1807946</v>
      </c>
      <c r="AC729" s="15">
        <f t="shared" ref="AC729:AC735" si="458">AB729/D729</f>
        <v>3046.24</v>
      </c>
      <c r="AD729" s="15">
        <f t="shared" ref="AD729:AD735" si="459">AC729*D729</f>
        <v>1807943.44</v>
      </c>
      <c r="AE729" s="25"/>
      <c r="AF729" s="157">
        <f t="shared" si="425"/>
        <v>-2.56</v>
      </c>
    </row>
    <row r="730" spans="1:32" s="4" customFormat="1" x14ac:dyDescent="0.25">
      <c r="A730" s="64" t="s">
        <v>1068</v>
      </c>
      <c r="B730" s="69" t="s">
        <v>887</v>
      </c>
      <c r="C730" s="12" t="s">
        <v>888</v>
      </c>
      <c r="D730" s="13">
        <v>147.19999999999999</v>
      </c>
      <c r="E730" s="18"/>
      <c r="F730" s="215">
        <v>14109</v>
      </c>
      <c r="G730" s="215">
        <f t="shared" si="433"/>
        <v>1339</v>
      </c>
      <c r="H730" s="19">
        <f t="shared" si="434"/>
        <v>15448</v>
      </c>
      <c r="I730" s="15"/>
      <c r="J730" s="22"/>
      <c r="K730" s="15"/>
      <c r="L730" s="15"/>
      <c r="M730" s="22"/>
      <c r="N730" s="22"/>
      <c r="O730" s="22">
        <f t="shared" si="435"/>
        <v>209320</v>
      </c>
      <c r="P730" s="19">
        <f t="shared" si="436"/>
        <v>21141</v>
      </c>
      <c r="Q730" s="19">
        <f t="shared" si="437"/>
        <v>230461</v>
      </c>
      <c r="R730" s="6">
        <f t="shared" si="438"/>
        <v>2420</v>
      </c>
      <c r="S730" s="6"/>
      <c r="T730" s="6"/>
      <c r="U730" s="122">
        <f t="shared" si="453"/>
        <v>17715</v>
      </c>
      <c r="V730" s="122">
        <f t="shared" si="454"/>
        <v>271</v>
      </c>
      <c r="W730" s="122">
        <f t="shared" si="455"/>
        <v>20803</v>
      </c>
      <c r="X730" s="6"/>
      <c r="Y730" s="6"/>
      <c r="Z730" s="6"/>
      <c r="AA730" s="19">
        <f t="shared" si="456"/>
        <v>271670</v>
      </c>
      <c r="AB730" s="19">
        <f t="shared" si="457"/>
        <v>292757</v>
      </c>
      <c r="AC730" s="15">
        <f t="shared" si="458"/>
        <v>1988.84</v>
      </c>
      <c r="AD730" s="15">
        <f t="shared" si="459"/>
        <v>292757.25</v>
      </c>
      <c r="AE730" s="25"/>
      <c r="AF730" s="157">
        <f t="shared" si="425"/>
        <v>0.25</v>
      </c>
    </row>
    <row r="731" spans="1:32" s="4" customFormat="1" x14ac:dyDescent="0.25">
      <c r="A731" s="64" t="s">
        <v>1069</v>
      </c>
      <c r="B731" s="69" t="s">
        <v>889</v>
      </c>
      <c r="C731" s="12" t="s">
        <v>890</v>
      </c>
      <c r="D731" s="13">
        <v>176.11</v>
      </c>
      <c r="E731" s="18"/>
      <c r="F731" s="215">
        <v>260763</v>
      </c>
      <c r="G731" s="215">
        <f t="shared" si="433"/>
        <v>24754</v>
      </c>
      <c r="H731" s="19">
        <f t="shared" si="434"/>
        <v>285517</v>
      </c>
      <c r="I731" s="15"/>
      <c r="J731" s="22"/>
      <c r="K731" s="15"/>
      <c r="L731" s="15"/>
      <c r="M731" s="22"/>
      <c r="N731" s="22"/>
      <c r="O731" s="22">
        <f t="shared" si="435"/>
        <v>3868755</v>
      </c>
      <c r="P731" s="19">
        <f t="shared" si="436"/>
        <v>390744</v>
      </c>
      <c r="Q731" s="19">
        <f t="shared" si="437"/>
        <v>4259499</v>
      </c>
      <c r="R731" s="6">
        <f t="shared" si="438"/>
        <v>44725</v>
      </c>
      <c r="S731" s="6"/>
      <c r="T731" s="6"/>
      <c r="U731" s="122">
        <f t="shared" si="453"/>
        <v>327415</v>
      </c>
      <c r="V731" s="122">
        <f t="shared" si="454"/>
        <v>5015</v>
      </c>
      <c r="W731" s="122">
        <f t="shared" si="455"/>
        <v>384492</v>
      </c>
      <c r="X731" s="6"/>
      <c r="Y731" s="6"/>
      <c r="Z731" s="6"/>
      <c r="AA731" s="19">
        <f t="shared" si="456"/>
        <v>5021146</v>
      </c>
      <c r="AB731" s="19">
        <f t="shared" si="457"/>
        <v>5410887</v>
      </c>
      <c r="AC731" s="15">
        <f t="shared" si="458"/>
        <v>30724.47</v>
      </c>
      <c r="AD731" s="15">
        <f t="shared" si="459"/>
        <v>5410886.4100000001</v>
      </c>
      <c r="AE731" s="25"/>
      <c r="AF731" s="157">
        <f t="shared" si="425"/>
        <v>-0.59</v>
      </c>
    </row>
    <row r="732" spans="1:32" s="4" customFormat="1" x14ac:dyDescent="0.25">
      <c r="A732" s="64" t="s">
        <v>1070</v>
      </c>
      <c r="B732" s="69" t="s">
        <v>892</v>
      </c>
      <c r="C732" s="12" t="s">
        <v>890</v>
      </c>
      <c r="D732" s="13">
        <v>19.13</v>
      </c>
      <c r="E732" s="18"/>
      <c r="F732" s="215">
        <v>102397</v>
      </c>
      <c r="G732" s="215">
        <f t="shared" si="433"/>
        <v>9720</v>
      </c>
      <c r="H732" s="19">
        <f t="shared" si="434"/>
        <v>112117</v>
      </c>
      <c r="I732" s="15"/>
      <c r="J732" s="22"/>
      <c r="K732" s="15"/>
      <c r="L732" s="15"/>
      <c r="M732" s="22"/>
      <c r="N732" s="22"/>
      <c r="O732" s="22">
        <f t="shared" si="435"/>
        <v>1519185</v>
      </c>
      <c r="P732" s="19">
        <f t="shared" si="436"/>
        <v>153438</v>
      </c>
      <c r="Q732" s="19">
        <f t="shared" si="437"/>
        <v>1672623</v>
      </c>
      <c r="R732" s="6">
        <f t="shared" si="438"/>
        <v>17563</v>
      </c>
      <c r="S732" s="6"/>
      <c r="T732" s="6"/>
      <c r="U732" s="122">
        <f t="shared" si="453"/>
        <v>128570</v>
      </c>
      <c r="V732" s="122">
        <f t="shared" si="454"/>
        <v>1969</v>
      </c>
      <c r="W732" s="122">
        <f t="shared" si="455"/>
        <v>150983</v>
      </c>
      <c r="X732" s="6"/>
      <c r="Y732" s="6"/>
      <c r="Z732" s="6"/>
      <c r="AA732" s="19">
        <f t="shared" si="456"/>
        <v>1971708</v>
      </c>
      <c r="AB732" s="19">
        <f t="shared" si="457"/>
        <v>2124752</v>
      </c>
      <c r="AC732" s="15">
        <f t="shared" si="458"/>
        <v>111069.11</v>
      </c>
      <c r="AD732" s="15">
        <f t="shared" si="459"/>
        <v>2124752.0699999998</v>
      </c>
      <c r="AE732" s="25"/>
      <c r="AF732" s="157">
        <f t="shared" si="425"/>
        <v>7.0000000000000007E-2</v>
      </c>
    </row>
    <row r="733" spans="1:32" s="4" customFormat="1" x14ac:dyDescent="0.25">
      <c r="A733" s="64" t="s">
        <v>1071</v>
      </c>
      <c r="B733" s="69" t="s">
        <v>893</v>
      </c>
      <c r="C733" s="12" t="s">
        <v>72</v>
      </c>
      <c r="D733" s="13">
        <v>580.5</v>
      </c>
      <c r="E733" s="18"/>
      <c r="F733" s="215">
        <v>69555</v>
      </c>
      <c r="G733" s="215">
        <f t="shared" si="433"/>
        <v>6603</v>
      </c>
      <c r="H733" s="19">
        <f t="shared" si="434"/>
        <v>76158</v>
      </c>
      <c r="I733" s="15"/>
      <c r="J733" s="22"/>
      <c r="K733" s="15"/>
      <c r="L733" s="15"/>
      <c r="M733" s="22"/>
      <c r="N733" s="22"/>
      <c r="O733" s="22">
        <f t="shared" si="435"/>
        <v>1031941</v>
      </c>
      <c r="P733" s="19">
        <f t="shared" si="436"/>
        <v>104226</v>
      </c>
      <c r="Q733" s="19">
        <f t="shared" si="437"/>
        <v>1136167</v>
      </c>
      <c r="R733" s="6">
        <f t="shared" si="438"/>
        <v>11930</v>
      </c>
      <c r="S733" s="6"/>
      <c r="T733" s="6"/>
      <c r="U733" s="122">
        <f t="shared" si="453"/>
        <v>87334</v>
      </c>
      <c r="V733" s="122">
        <f t="shared" si="454"/>
        <v>1338</v>
      </c>
      <c r="W733" s="122">
        <f t="shared" si="455"/>
        <v>102558</v>
      </c>
      <c r="X733" s="6"/>
      <c r="Y733" s="6"/>
      <c r="Z733" s="6"/>
      <c r="AA733" s="19">
        <f t="shared" si="456"/>
        <v>1339327</v>
      </c>
      <c r="AB733" s="19">
        <f t="shared" si="457"/>
        <v>1443286</v>
      </c>
      <c r="AC733" s="15">
        <f t="shared" si="458"/>
        <v>2486.2800000000002</v>
      </c>
      <c r="AD733" s="15">
        <f t="shared" si="459"/>
        <v>1443285.54</v>
      </c>
      <c r="AE733" s="25"/>
      <c r="AF733" s="157">
        <f t="shared" si="425"/>
        <v>-0.46</v>
      </c>
    </row>
    <row r="734" spans="1:32" s="4" customFormat="1" x14ac:dyDescent="0.25">
      <c r="A734" s="64" t="s">
        <v>1072</v>
      </c>
      <c r="B734" s="69" t="s">
        <v>894</v>
      </c>
      <c r="C734" s="12" t="s">
        <v>72</v>
      </c>
      <c r="D734" s="13">
        <v>580.5</v>
      </c>
      <c r="E734" s="18"/>
      <c r="F734" s="215">
        <v>62806</v>
      </c>
      <c r="G734" s="215">
        <f t="shared" si="433"/>
        <v>5962</v>
      </c>
      <c r="H734" s="19">
        <f t="shared" si="434"/>
        <v>68768</v>
      </c>
      <c r="I734" s="15"/>
      <c r="J734" s="22"/>
      <c r="K734" s="15"/>
      <c r="L734" s="15"/>
      <c r="M734" s="22"/>
      <c r="N734" s="22"/>
      <c r="O734" s="22">
        <f t="shared" si="435"/>
        <v>931806</v>
      </c>
      <c r="P734" s="19">
        <f t="shared" si="436"/>
        <v>94112</v>
      </c>
      <c r="Q734" s="19">
        <f t="shared" si="437"/>
        <v>1025918</v>
      </c>
      <c r="R734" s="6">
        <f t="shared" si="438"/>
        <v>10772</v>
      </c>
      <c r="S734" s="6"/>
      <c r="T734" s="6"/>
      <c r="U734" s="122">
        <f t="shared" si="453"/>
        <v>78859</v>
      </c>
      <c r="V734" s="122">
        <f t="shared" si="454"/>
        <v>1208</v>
      </c>
      <c r="W734" s="122">
        <f t="shared" si="455"/>
        <v>92606</v>
      </c>
      <c r="X734" s="6"/>
      <c r="Y734" s="6"/>
      <c r="Z734" s="6"/>
      <c r="AA734" s="19">
        <f t="shared" si="456"/>
        <v>1209363</v>
      </c>
      <c r="AB734" s="19">
        <f t="shared" si="457"/>
        <v>1303234</v>
      </c>
      <c r="AC734" s="15">
        <f t="shared" si="458"/>
        <v>2245.02</v>
      </c>
      <c r="AD734" s="15">
        <f t="shared" si="459"/>
        <v>1303234.1100000001</v>
      </c>
      <c r="AE734" s="25"/>
      <c r="AF734" s="157">
        <f t="shared" si="425"/>
        <v>0.11</v>
      </c>
    </row>
    <row r="735" spans="1:32" s="4" customFormat="1" x14ac:dyDescent="0.25">
      <c r="A735" s="64" t="s">
        <v>1073</v>
      </c>
      <c r="B735" s="69" t="s">
        <v>1026</v>
      </c>
      <c r="C735" s="12" t="s">
        <v>72</v>
      </c>
      <c r="D735" s="13">
        <v>16</v>
      </c>
      <c r="E735" s="18"/>
      <c r="F735" s="215">
        <v>3142</v>
      </c>
      <c r="G735" s="215">
        <f t="shared" si="433"/>
        <v>298</v>
      </c>
      <c r="H735" s="19">
        <f t="shared" si="434"/>
        <v>3440</v>
      </c>
      <c r="I735" s="15"/>
      <c r="J735" s="22"/>
      <c r="K735" s="15"/>
      <c r="L735" s="15"/>
      <c r="M735" s="22"/>
      <c r="N735" s="22"/>
      <c r="O735" s="22">
        <f t="shared" si="435"/>
        <v>46612</v>
      </c>
      <c r="P735" s="19">
        <f t="shared" si="436"/>
        <v>4708</v>
      </c>
      <c r="Q735" s="19">
        <f t="shared" si="437"/>
        <v>51320</v>
      </c>
      <c r="R735" s="6">
        <f t="shared" si="438"/>
        <v>539</v>
      </c>
      <c r="S735" s="6"/>
      <c r="T735" s="6"/>
      <c r="U735" s="122">
        <f t="shared" si="453"/>
        <v>3945</v>
      </c>
      <c r="V735" s="122">
        <f t="shared" si="454"/>
        <v>60</v>
      </c>
      <c r="W735" s="122">
        <f t="shared" si="455"/>
        <v>4632</v>
      </c>
      <c r="X735" s="6"/>
      <c r="Y735" s="6"/>
      <c r="Z735" s="6"/>
      <c r="AA735" s="19">
        <f t="shared" si="456"/>
        <v>60496</v>
      </c>
      <c r="AB735" s="19">
        <f t="shared" si="457"/>
        <v>65192</v>
      </c>
      <c r="AC735" s="15">
        <f t="shared" si="458"/>
        <v>4074.5</v>
      </c>
      <c r="AD735" s="15">
        <f t="shared" si="459"/>
        <v>65192</v>
      </c>
      <c r="AE735" s="25"/>
      <c r="AF735" s="157">
        <f t="shared" si="425"/>
        <v>0</v>
      </c>
    </row>
    <row r="736" spans="1:32" s="4" customFormat="1" x14ac:dyDescent="0.25">
      <c r="A736" s="23" t="s">
        <v>1074</v>
      </c>
      <c r="B736" s="26" t="s">
        <v>899</v>
      </c>
      <c r="C736" s="21"/>
      <c r="D736" s="212"/>
      <c r="E736" s="213"/>
      <c r="F736" s="216"/>
      <c r="G736" s="215"/>
      <c r="H736" s="19"/>
      <c r="I736" s="32"/>
      <c r="J736" s="22"/>
      <c r="K736" s="15"/>
      <c r="L736" s="15"/>
      <c r="M736" s="31"/>
      <c r="N736" s="31"/>
      <c r="O736" s="22"/>
      <c r="P736" s="19"/>
      <c r="Q736" s="19"/>
      <c r="R736" s="6"/>
      <c r="S736" s="6"/>
      <c r="T736" s="6"/>
      <c r="U736" s="122"/>
      <c r="V736" s="122"/>
      <c r="W736" s="122"/>
      <c r="X736" s="6"/>
      <c r="Y736" s="6"/>
      <c r="Z736" s="6"/>
      <c r="AA736" s="19"/>
      <c r="AB736" s="19"/>
      <c r="AC736" s="15"/>
      <c r="AD736" s="15"/>
      <c r="AE736" s="25"/>
      <c r="AF736" s="157">
        <f t="shared" si="425"/>
        <v>0</v>
      </c>
    </row>
    <row r="737" spans="1:32" s="4" customFormat="1" x14ac:dyDescent="0.25">
      <c r="A737" s="64" t="s">
        <v>1075</v>
      </c>
      <c r="B737" s="69" t="s">
        <v>900</v>
      </c>
      <c r="C737" s="12" t="s">
        <v>70</v>
      </c>
      <c r="D737" s="13">
        <v>13.2</v>
      </c>
      <c r="E737" s="18"/>
      <c r="F737" s="215">
        <v>4944</v>
      </c>
      <c r="G737" s="215">
        <f t="shared" si="433"/>
        <v>469</v>
      </c>
      <c r="H737" s="19">
        <f t="shared" si="434"/>
        <v>5413</v>
      </c>
      <c r="I737" s="15"/>
      <c r="J737" s="22"/>
      <c r="K737" s="15"/>
      <c r="L737" s="15"/>
      <c r="M737" s="22"/>
      <c r="N737" s="22"/>
      <c r="O737" s="22">
        <f t="shared" si="435"/>
        <v>73346</v>
      </c>
      <c r="P737" s="19">
        <f t="shared" si="436"/>
        <v>7408</v>
      </c>
      <c r="Q737" s="19">
        <f t="shared" si="437"/>
        <v>80754</v>
      </c>
      <c r="R737" s="6">
        <f t="shared" si="438"/>
        <v>848</v>
      </c>
      <c r="S737" s="6"/>
      <c r="T737" s="6"/>
      <c r="U737" s="122">
        <f t="shared" ref="U737:U745" si="460">Q737*$U$6</f>
        <v>6207</v>
      </c>
      <c r="V737" s="122">
        <f t="shared" ref="V737:V745" si="461">Q737*$V$6</f>
        <v>95</v>
      </c>
      <c r="W737" s="122">
        <f t="shared" ref="W737:W745" si="462">Q737*$W$6</f>
        <v>7289</v>
      </c>
      <c r="X737" s="6"/>
      <c r="Y737" s="6"/>
      <c r="Z737" s="6"/>
      <c r="AA737" s="19">
        <f t="shared" ref="AA737:AA745" si="463">SUM(Q737:Z737)</f>
        <v>95193</v>
      </c>
      <c r="AB737" s="19">
        <f t="shared" ref="AB737:AB745" si="464">$AA737*AB$7</f>
        <v>102582</v>
      </c>
      <c r="AC737" s="15">
        <f t="shared" ref="AC737:AC745" si="465">AB737/D737</f>
        <v>7771.36</v>
      </c>
      <c r="AD737" s="15">
        <f t="shared" ref="AD737:AD745" si="466">AC737*D737</f>
        <v>102581.95</v>
      </c>
      <c r="AE737" s="25"/>
      <c r="AF737" s="157">
        <f t="shared" si="425"/>
        <v>-0.05</v>
      </c>
    </row>
    <row r="738" spans="1:32" s="4" customFormat="1" x14ac:dyDescent="0.25">
      <c r="A738" s="64" t="s">
        <v>1076</v>
      </c>
      <c r="B738" s="69" t="s">
        <v>901</v>
      </c>
      <c r="C738" s="12" t="s">
        <v>70</v>
      </c>
      <c r="D738" s="13">
        <v>10.5</v>
      </c>
      <c r="E738" s="18"/>
      <c r="F738" s="215">
        <v>3215</v>
      </c>
      <c r="G738" s="215">
        <f t="shared" si="433"/>
        <v>305</v>
      </c>
      <c r="H738" s="19">
        <f t="shared" si="434"/>
        <v>3520</v>
      </c>
      <c r="I738" s="15"/>
      <c r="J738" s="22"/>
      <c r="K738" s="15"/>
      <c r="L738" s="15"/>
      <c r="M738" s="22"/>
      <c r="N738" s="22"/>
      <c r="O738" s="22">
        <f t="shared" si="435"/>
        <v>47696</v>
      </c>
      <c r="P738" s="19">
        <f t="shared" si="436"/>
        <v>4817</v>
      </c>
      <c r="Q738" s="19">
        <f t="shared" si="437"/>
        <v>52513</v>
      </c>
      <c r="R738" s="6">
        <f t="shared" si="438"/>
        <v>551</v>
      </c>
      <c r="S738" s="6"/>
      <c r="T738" s="6"/>
      <c r="U738" s="122">
        <f t="shared" si="460"/>
        <v>4037</v>
      </c>
      <c r="V738" s="122">
        <f t="shared" si="461"/>
        <v>62</v>
      </c>
      <c r="W738" s="122">
        <f t="shared" si="462"/>
        <v>4740</v>
      </c>
      <c r="X738" s="6"/>
      <c r="Y738" s="6"/>
      <c r="Z738" s="6"/>
      <c r="AA738" s="19">
        <f t="shared" si="463"/>
        <v>61903</v>
      </c>
      <c r="AB738" s="19">
        <f t="shared" si="464"/>
        <v>66708</v>
      </c>
      <c r="AC738" s="15">
        <f t="shared" si="465"/>
        <v>6353.14</v>
      </c>
      <c r="AD738" s="15">
        <f t="shared" si="466"/>
        <v>66707.97</v>
      </c>
      <c r="AE738" s="25"/>
      <c r="AF738" s="157">
        <f t="shared" si="425"/>
        <v>-0.03</v>
      </c>
    </row>
    <row r="739" spans="1:32" s="4" customFormat="1" x14ac:dyDescent="0.25">
      <c r="A739" s="64" t="s">
        <v>1077</v>
      </c>
      <c r="B739" s="69" t="s">
        <v>902</v>
      </c>
      <c r="C739" s="12" t="s">
        <v>70</v>
      </c>
      <c r="D739" s="13">
        <v>6.1</v>
      </c>
      <c r="E739" s="18"/>
      <c r="F739" s="215">
        <v>12351</v>
      </c>
      <c r="G739" s="215">
        <f t="shared" si="433"/>
        <v>1172</v>
      </c>
      <c r="H739" s="19">
        <f t="shared" si="434"/>
        <v>13523</v>
      </c>
      <c r="I739" s="15"/>
      <c r="J739" s="22"/>
      <c r="K739" s="15"/>
      <c r="L739" s="15"/>
      <c r="M739" s="22"/>
      <c r="N739" s="22"/>
      <c r="O739" s="22">
        <f t="shared" si="435"/>
        <v>183237</v>
      </c>
      <c r="P739" s="19">
        <f t="shared" si="436"/>
        <v>18507</v>
      </c>
      <c r="Q739" s="19">
        <f t="shared" si="437"/>
        <v>201744</v>
      </c>
      <c r="R739" s="6">
        <f t="shared" si="438"/>
        <v>2118</v>
      </c>
      <c r="S739" s="6"/>
      <c r="T739" s="6"/>
      <c r="U739" s="122">
        <f t="shared" si="460"/>
        <v>15507</v>
      </c>
      <c r="V739" s="122">
        <f t="shared" si="461"/>
        <v>238</v>
      </c>
      <c r="W739" s="122">
        <f t="shared" si="462"/>
        <v>18211</v>
      </c>
      <c r="X739" s="6"/>
      <c r="Y739" s="6"/>
      <c r="Z739" s="6"/>
      <c r="AA739" s="19">
        <f t="shared" si="463"/>
        <v>237818</v>
      </c>
      <c r="AB739" s="19">
        <f t="shared" si="464"/>
        <v>256277</v>
      </c>
      <c r="AC739" s="15">
        <f t="shared" si="465"/>
        <v>42012.62</v>
      </c>
      <c r="AD739" s="15">
        <f t="shared" si="466"/>
        <v>256276.98</v>
      </c>
      <c r="AE739" s="25"/>
      <c r="AF739" s="157">
        <f t="shared" si="425"/>
        <v>-0.02</v>
      </c>
    </row>
    <row r="740" spans="1:32" s="4" customFormat="1" x14ac:dyDescent="0.25">
      <c r="A740" s="64" t="s">
        <v>1078</v>
      </c>
      <c r="B740" s="69" t="s">
        <v>903</v>
      </c>
      <c r="C740" s="12" t="s">
        <v>70</v>
      </c>
      <c r="D740" s="13">
        <v>53.8</v>
      </c>
      <c r="E740" s="18"/>
      <c r="F740" s="215">
        <v>167432</v>
      </c>
      <c r="G740" s="215">
        <f t="shared" si="433"/>
        <v>15894</v>
      </c>
      <c r="H740" s="19">
        <f t="shared" si="434"/>
        <v>183326</v>
      </c>
      <c r="I740" s="15"/>
      <c r="J740" s="22"/>
      <c r="K740" s="15"/>
      <c r="L740" s="15"/>
      <c r="M740" s="22"/>
      <c r="N740" s="22"/>
      <c r="O740" s="22">
        <f t="shared" si="435"/>
        <v>2484067</v>
      </c>
      <c r="P740" s="19">
        <f t="shared" si="436"/>
        <v>250891</v>
      </c>
      <c r="Q740" s="19">
        <f t="shared" si="437"/>
        <v>2734958</v>
      </c>
      <c r="R740" s="6">
        <f t="shared" si="438"/>
        <v>28717</v>
      </c>
      <c r="S740" s="6"/>
      <c r="T740" s="6"/>
      <c r="U740" s="122">
        <f t="shared" si="460"/>
        <v>210228</v>
      </c>
      <c r="V740" s="122">
        <f t="shared" si="461"/>
        <v>3220</v>
      </c>
      <c r="W740" s="122">
        <f t="shared" si="462"/>
        <v>246876</v>
      </c>
      <c r="X740" s="6"/>
      <c r="Y740" s="6"/>
      <c r="Z740" s="6"/>
      <c r="AA740" s="19">
        <f t="shared" si="463"/>
        <v>3223999</v>
      </c>
      <c r="AB740" s="19">
        <f t="shared" si="464"/>
        <v>3474246</v>
      </c>
      <c r="AC740" s="15">
        <f t="shared" si="465"/>
        <v>64577.06</v>
      </c>
      <c r="AD740" s="15">
        <f t="shared" si="466"/>
        <v>3474245.83</v>
      </c>
      <c r="AE740" s="25"/>
      <c r="AF740" s="157">
        <f t="shared" si="425"/>
        <v>-0.17</v>
      </c>
    </row>
    <row r="741" spans="1:32" s="4" customFormat="1" x14ac:dyDescent="0.25">
      <c r="A741" s="64" t="s">
        <v>1079</v>
      </c>
      <c r="B741" s="69" t="s">
        <v>872</v>
      </c>
      <c r="C741" s="12" t="s">
        <v>72</v>
      </c>
      <c r="D741" s="13">
        <v>54.2</v>
      </c>
      <c r="E741" s="18"/>
      <c r="F741" s="215">
        <v>4708</v>
      </c>
      <c r="G741" s="215">
        <f t="shared" si="433"/>
        <v>447</v>
      </c>
      <c r="H741" s="19">
        <f t="shared" si="434"/>
        <v>5155</v>
      </c>
      <c r="I741" s="15"/>
      <c r="J741" s="22"/>
      <c r="K741" s="15"/>
      <c r="L741" s="15"/>
      <c r="M741" s="22"/>
      <c r="N741" s="22"/>
      <c r="O741" s="22">
        <f t="shared" si="435"/>
        <v>69850</v>
      </c>
      <c r="P741" s="19">
        <f t="shared" si="436"/>
        <v>7055</v>
      </c>
      <c r="Q741" s="19">
        <f t="shared" si="437"/>
        <v>76905</v>
      </c>
      <c r="R741" s="6">
        <f t="shared" si="438"/>
        <v>808</v>
      </c>
      <c r="S741" s="6"/>
      <c r="T741" s="6"/>
      <c r="U741" s="122">
        <f t="shared" si="460"/>
        <v>5911</v>
      </c>
      <c r="V741" s="122">
        <f t="shared" si="461"/>
        <v>91</v>
      </c>
      <c r="W741" s="122">
        <f t="shared" si="462"/>
        <v>6942</v>
      </c>
      <c r="X741" s="6"/>
      <c r="Y741" s="6"/>
      <c r="Z741" s="6"/>
      <c r="AA741" s="19">
        <f t="shared" si="463"/>
        <v>90657</v>
      </c>
      <c r="AB741" s="19">
        <f t="shared" si="464"/>
        <v>97694</v>
      </c>
      <c r="AC741" s="15">
        <f t="shared" si="465"/>
        <v>1802.47</v>
      </c>
      <c r="AD741" s="15">
        <f t="shared" si="466"/>
        <v>97693.87</v>
      </c>
      <c r="AE741" s="25"/>
      <c r="AF741" s="157">
        <f t="shared" si="425"/>
        <v>-0.13</v>
      </c>
    </row>
    <row r="742" spans="1:32" s="4" customFormat="1" x14ac:dyDescent="0.25">
      <c r="A742" s="64" t="s">
        <v>1080</v>
      </c>
      <c r="B742" s="69" t="s">
        <v>904</v>
      </c>
      <c r="C742" s="12" t="s">
        <v>72</v>
      </c>
      <c r="D742" s="13">
        <v>114</v>
      </c>
      <c r="E742" s="18"/>
      <c r="F742" s="215">
        <v>14580</v>
      </c>
      <c r="G742" s="215">
        <f t="shared" si="433"/>
        <v>1384</v>
      </c>
      <c r="H742" s="19">
        <f t="shared" si="434"/>
        <v>15964</v>
      </c>
      <c r="I742" s="15"/>
      <c r="J742" s="22"/>
      <c r="K742" s="15"/>
      <c r="L742" s="15"/>
      <c r="M742" s="22"/>
      <c r="N742" s="22"/>
      <c r="O742" s="22">
        <f t="shared" si="435"/>
        <v>216312</v>
      </c>
      <c r="P742" s="19">
        <f t="shared" si="436"/>
        <v>21848</v>
      </c>
      <c r="Q742" s="19">
        <f t="shared" si="437"/>
        <v>238160</v>
      </c>
      <c r="R742" s="6">
        <f t="shared" si="438"/>
        <v>2501</v>
      </c>
      <c r="S742" s="6"/>
      <c r="T742" s="6"/>
      <c r="U742" s="122">
        <f t="shared" si="460"/>
        <v>18307</v>
      </c>
      <c r="V742" s="122">
        <f t="shared" si="461"/>
        <v>280</v>
      </c>
      <c r="W742" s="122">
        <f t="shared" si="462"/>
        <v>21498</v>
      </c>
      <c r="X742" s="6"/>
      <c r="Y742" s="6"/>
      <c r="Z742" s="6"/>
      <c r="AA742" s="19">
        <f t="shared" si="463"/>
        <v>280746</v>
      </c>
      <c r="AB742" s="19">
        <f t="shared" si="464"/>
        <v>302538</v>
      </c>
      <c r="AC742" s="15">
        <f t="shared" si="465"/>
        <v>2653.84</v>
      </c>
      <c r="AD742" s="15">
        <f t="shared" si="466"/>
        <v>302537.76</v>
      </c>
      <c r="AE742" s="25"/>
      <c r="AF742" s="157">
        <f t="shared" si="425"/>
        <v>-0.24</v>
      </c>
    </row>
    <row r="743" spans="1:32" s="4" customFormat="1" ht="25.5" x14ac:dyDescent="0.25">
      <c r="A743" s="64" t="s">
        <v>1081</v>
      </c>
      <c r="B743" s="69" t="s">
        <v>905</v>
      </c>
      <c r="C743" s="12" t="s">
        <v>72</v>
      </c>
      <c r="D743" s="13">
        <v>68.599999999999994</v>
      </c>
      <c r="E743" s="18"/>
      <c r="F743" s="215">
        <v>2868</v>
      </c>
      <c r="G743" s="215">
        <f t="shared" si="433"/>
        <v>272</v>
      </c>
      <c r="H743" s="19">
        <f t="shared" si="434"/>
        <v>3140</v>
      </c>
      <c r="I743" s="15"/>
      <c r="J743" s="22"/>
      <c r="K743" s="15"/>
      <c r="L743" s="15"/>
      <c r="M743" s="22"/>
      <c r="N743" s="22"/>
      <c r="O743" s="22">
        <f t="shared" si="435"/>
        <v>42547</v>
      </c>
      <c r="P743" s="19">
        <f t="shared" si="436"/>
        <v>4297</v>
      </c>
      <c r="Q743" s="19">
        <f t="shared" si="437"/>
        <v>46844</v>
      </c>
      <c r="R743" s="6">
        <f t="shared" si="438"/>
        <v>492</v>
      </c>
      <c r="S743" s="6"/>
      <c r="T743" s="6"/>
      <c r="U743" s="122">
        <f t="shared" si="460"/>
        <v>3601</v>
      </c>
      <c r="V743" s="122">
        <f t="shared" si="461"/>
        <v>55</v>
      </c>
      <c r="W743" s="122">
        <f t="shared" si="462"/>
        <v>4228</v>
      </c>
      <c r="X743" s="6"/>
      <c r="Y743" s="6"/>
      <c r="Z743" s="6"/>
      <c r="AA743" s="19">
        <f t="shared" si="463"/>
        <v>55220</v>
      </c>
      <c r="AB743" s="19">
        <f t="shared" si="464"/>
        <v>59506</v>
      </c>
      <c r="AC743" s="15">
        <f t="shared" si="465"/>
        <v>867.43</v>
      </c>
      <c r="AD743" s="15">
        <f t="shared" si="466"/>
        <v>59505.7</v>
      </c>
      <c r="AE743" s="25"/>
      <c r="AF743" s="157">
        <f t="shared" si="425"/>
        <v>-0.3</v>
      </c>
    </row>
    <row r="744" spans="1:32" s="4" customFormat="1" x14ac:dyDescent="0.25">
      <c r="A744" s="64" t="s">
        <v>1082</v>
      </c>
      <c r="B744" s="69" t="s">
        <v>893</v>
      </c>
      <c r="C744" s="12" t="s">
        <v>72</v>
      </c>
      <c r="D744" s="13">
        <v>278.8</v>
      </c>
      <c r="E744" s="18"/>
      <c r="F744" s="215">
        <v>45411</v>
      </c>
      <c r="G744" s="215">
        <f t="shared" si="433"/>
        <v>4311</v>
      </c>
      <c r="H744" s="19">
        <f t="shared" si="434"/>
        <v>49722</v>
      </c>
      <c r="I744" s="15"/>
      <c r="J744" s="22"/>
      <c r="K744" s="15"/>
      <c r="L744" s="15"/>
      <c r="M744" s="22"/>
      <c r="N744" s="22"/>
      <c r="O744" s="22">
        <f t="shared" si="435"/>
        <v>673733</v>
      </c>
      <c r="P744" s="19">
        <f t="shared" si="436"/>
        <v>68047</v>
      </c>
      <c r="Q744" s="19">
        <f t="shared" si="437"/>
        <v>741780</v>
      </c>
      <c r="R744" s="6">
        <f t="shared" si="438"/>
        <v>7789</v>
      </c>
      <c r="S744" s="6"/>
      <c r="T744" s="6"/>
      <c r="U744" s="122">
        <f t="shared" si="460"/>
        <v>57018</v>
      </c>
      <c r="V744" s="122">
        <f t="shared" si="461"/>
        <v>873</v>
      </c>
      <c r="W744" s="122">
        <f t="shared" si="462"/>
        <v>66958</v>
      </c>
      <c r="X744" s="6"/>
      <c r="Y744" s="6"/>
      <c r="Z744" s="6"/>
      <c r="AA744" s="19">
        <f t="shared" si="463"/>
        <v>874418</v>
      </c>
      <c r="AB744" s="19">
        <f t="shared" si="464"/>
        <v>942290</v>
      </c>
      <c r="AC744" s="15">
        <f t="shared" si="465"/>
        <v>3379.81</v>
      </c>
      <c r="AD744" s="15">
        <f t="shared" si="466"/>
        <v>942291.03</v>
      </c>
      <c r="AE744" s="25"/>
      <c r="AF744" s="157">
        <f t="shared" si="425"/>
        <v>1.03</v>
      </c>
    </row>
    <row r="745" spans="1:32" s="4" customFormat="1" x14ac:dyDescent="0.25">
      <c r="A745" s="64" t="s">
        <v>1083</v>
      </c>
      <c r="B745" s="69" t="s">
        <v>894</v>
      </c>
      <c r="C745" s="12" t="s">
        <v>72</v>
      </c>
      <c r="D745" s="13">
        <v>303.8</v>
      </c>
      <c r="E745" s="18"/>
      <c r="F745" s="215">
        <v>54953</v>
      </c>
      <c r="G745" s="215">
        <f t="shared" si="433"/>
        <v>5217</v>
      </c>
      <c r="H745" s="19">
        <f t="shared" si="434"/>
        <v>60170</v>
      </c>
      <c r="I745" s="15"/>
      <c r="J745" s="22"/>
      <c r="K745" s="15"/>
      <c r="L745" s="15"/>
      <c r="M745" s="22"/>
      <c r="N745" s="22"/>
      <c r="O745" s="22">
        <f t="shared" si="435"/>
        <v>815304</v>
      </c>
      <c r="P745" s="19">
        <f t="shared" si="436"/>
        <v>82346</v>
      </c>
      <c r="Q745" s="19">
        <f t="shared" si="437"/>
        <v>897650</v>
      </c>
      <c r="R745" s="6">
        <f t="shared" si="438"/>
        <v>9425</v>
      </c>
      <c r="S745" s="6"/>
      <c r="T745" s="6"/>
      <c r="U745" s="122">
        <f t="shared" si="460"/>
        <v>69000</v>
      </c>
      <c r="V745" s="122">
        <f t="shared" si="461"/>
        <v>1057</v>
      </c>
      <c r="W745" s="122">
        <f t="shared" si="462"/>
        <v>81028</v>
      </c>
      <c r="X745" s="6"/>
      <c r="Y745" s="6"/>
      <c r="Z745" s="6"/>
      <c r="AA745" s="19">
        <f t="shared" si="463"/>
        <v>1058160</v>
      </c>
      <c r="AB745" s="19">
        <f t="shared" si="464"/>
        <v>1140294</v>
      </c>
      <c r="AC745" s="15">
        <f t="shared" si="465"/>
        <v>3753.44</v>
      </c>
      <c r="AD745" s="15">
        <f t="shared" si="466"/>
        <v>1140295.07</v>
      </c>
      <c r="AE745" s="25"/>
      <c r="AF745" s="157">
        <f t="shared" si="425"/>
        <v>1.07</v>
      </c>
    </row>
    <row r="746" spans="1:32" s="4" customFormat="1" x14ac:dyDescent="0.25">
      <c r="A746" s="23" t="s">
        <v>1084</v>
      </c>
      <c r="B746" s="26" t="s">
        <v>909</v>
      </c>
      <c r="C746" s="21"/>
      <c r="D746" s="212"/>
      <c r="E746" s="213"/>
      <c r="F746" s="216"/>
      <c r="G746" s="215"/>
      <c r="H746" s="19"/>
      <c r="I746" s="32"/>
      <c r="J746" s="22"/>
      <c r="K746" s="15"/>
      <c r="L746" s="15"/>
      <c r="M746" s="31"/>
      <c r="N746" s="31"/>
      <c r="O746" s="22"/>
      <c r="P746" s="19"/>
      <c r="Q746" s="19"/>
      <c r="R746" s="6"/>
      <c r="S746" s="6"/>
      <c r="T746" s="6"/>
      <c r="U746" s="122"/>
      <c r="V746" s="122"/>
      <c r="W746" s="122"/>
      <c r="X746" s="6"/>
      <c r="Y746" s="6"/>
      <c r="Z746" s="6"/>
      <c r="AA746" s="19"/>
      <c r="AB746" s="19"/>
      <c r="AC746" s="15"/>
      <c r="AD746" s="15"/>
      <c r="AE746" s="25"/>
      <c r="AF746" s="157">
        <f t="shared" si="425"/>
        <v>0</v>
      </c>
    </row>
    <row r="747" spans="1:32" s="4" customFormat="1" x14ac:dyDescent="0.25">
      <c r="A747" s="64" t="s">
        <v>1085</v>
      </c>
      <c r="B747" s="69" t="s">
        <v>910</v>
      </c>
      <c r="C747" s="12" t="s">
        <v>70</v>
      </c>
      <c r="D747" s="13">
        <v>880</v>
      </c>
      <c r="E747" s="18"/>
      <c r="F747" s="215">
        <v>247841</v>
      </c>
      <c r="G747" s="215">
        <f t="shared" si="433"/>
        <v>23527</v>
      </c>
      <c r="H747" s="19">
        <f t="shared" si="434"/>
        <v>271368</v>
      </c>
      <c r="I747" s="15"/>
      <c r="J747" s="22"/>
      <c r="K747" s="15"/>
      <c r="L747" s="15"/>
      <c r="M747" s="22"/>
      <c r="N747" s="22"/>
      <c r="O747" s="22">
        <f t="shared" si="435"/>
        <v>3677036</v>
      </c>
      <c r="P747" s="19">
        <f t="shared" si="436"/>
        <v>371381</v>
      </c>
      <c r="Q747" s="19">
        <f t="shared" si="437"/>
        <v>4048417</v>
      </c>
      <c r="R747" s="6">
        <f t="shared" si="438"/>
        <v>42508</v>
      </c>
      <c r="S747" s="6"/>
      <c r="T747" s="6"/>
      <c r="U747" s="122">
        <f>Q747*$U$6</f>
        <v>311190</v>
      </c>
      <c r="V747" s="122">
        <f>Q747*$V$6</f>
        <v>4767</v>
      </c>
      <c r="W747" s="122">
        <f>Q747*$W$6</f>
        <v>365438</v>
      </c>
      <c r="X747" s="6"/>
      <c r="Y747" s="6"/>
      <c r="Z747" s="6"/>
      <c r="AA747" s="19">
        <f>SUM(Q747:Z747)</f>
        <v>4772320</v>
      </c>
      <c r="AB747" s="19">
        <f>$AA747*AB$7</f>
        <v>5142747</v>
      </c>
      <c r="AC747" s="15">
        <f>AB747/D747</f>
        <v>5844.03</v>
      </c>
      <c r="AD747" s="15">
        <f>AC747*D747</f>
        <v>5142746.4000000004</v>
      </c>
      <c r="AE747" s="25"/>
      <c r="AF747" s="157">
        <f t="shared" si="425"/>
        <v>-0.6</v>
      </c>
    </row>
    <row r="748" spans="1:32" s="4" customFormat="1" ht="25.5" x14ac:dyDescent="0.25">
      <c r="A748" s="64" t="s">
        <v>1086</v>
      </c>
      <c r="B748" s="69" t="s">
        <v>1027</v>
      </c>
      <c r="C748" s="12" t="s">
        <v>72</v>
      </c>
      <c r="D748" s="13">
        <v>20.399999999999999</v>
      </c>
      <c r="E748" s="18"/>
      <c r="F748" s="215">
        <v>3755</v>
      </c>
      <c r="G748" s="215">
        <f t="shared" si="433"/>
        <v>356</v>
      </c>
      <c r="H748" s="19">
        <f t="shared" si="434"/>
        <v>4111</v>
      </c>
      <c r="I748" s="15"/>
      <c r="J748" s="22"/>
      <c r="K748" s="15"/>
      <c r="L748" s="15"/>
      <c r="M748" s="22"/>
      <c r="N748" s="22"/>
      <c r="O748" s="22">
        <f t="shared" si="435"/>
        <v>55704</v>
      </c>
      <c r="P748" s="19">
        <f t="shared" si="436"/>
        <v>5626</v>
      </c>
      <c r="Q748" s="19">
        <f t="shared" si="437"/>
        <v>61330</v>
      </c>
      <c r="R748" s="6">
        <f t="shared" si="438"/>
        <v>644</v>
      </c>
      <c r="S748" s="6"/>
      <c r="T748" s="6"/>
      <c r="U748" s="122">
        <f>Q748*$U$6</f>
        <v>4714</v>
      </c>
      <c r="V748" s="122">
        <f>Q748*$V$6</f>
        <v>72</v>
      </c>
      <c r="W748" s="122">
        <f>Q748*$W$6</f>
        <v>5536</v>
      </c>
      <c r="X748" s="6"/>
      <c r="Y748" s="6"/>
      <c r="Z748" s="6"/>
      <c r="AA748" s="19">
        <f>SUM(Q748:Z748)</f>
        <v>72296</v>
      </c>
      <c r="AB748" s="19">
        <f>$AA748*AB$7</f>
        <v>77908</v>
      </c>
      <c r="AC748" s="15">
        <f>AB748/D748</f>
        <v>3819.02</v>
      </c>
      <c r="AD748" s="15">
        <f>AC748*D748</f>
        <v>77908.009999999995</v>
      </c>
      <c r="AE748" s="25"/>
      <c r="AF748" s="157">
        <f t="shared" si="425"/>
        <v>0.01</v>
      </c>
    </row>
    <row r="749" spans="1:32" s="4" customFormat="1" x14ac:dyDescent="0.25">
      <c r="A749" s="64" t="s">
        <v>1087</v>
      </c>
      <c r="B749" s="69" t="s">
        <v>914</v>
      </c>
      <c r="C749" s="12" t="s">
        <v>72</v>
      </c>
      <c r="D749" s="13">
        <v>24</v>
      </c>
      <c r="E749" s="18"/>
      <c r="F749" s="215">
        <v>680</v>
      </c>
      <c r="G749" s="215">
        <f t="shared" si="433"/>
        <v>65</v>
      </c>
      <c r="H749" s="19">
        <f t="shared" si="434"/>
        <v>745</v>
      </c>
      <c r="I749" s="15"/>
      <c r="J749" s="22"/>
      <c r="K749" s="15"/>
      <c r="L749" s="15"/>
      <c r="M749" s="22"/>
      <c r="N749" s="22"/>
      <c r="O749" s="22">
        <f t="shared" si="435"/>
        <v>10095</v>
      </c>
      <c r="P749" s="19">
        <f t="shared" si="436"/>
        <v>1020</v>
      </c>
      <c r="Q749" s="19">
        <f t="shared" si="437"/>
        <v>11115</v>
      </c>
      <c r="R749" s="6">
        <f t="shared" si="438"/>
        <v>117</v>
      </c>
      <c r="S749" s="6"/>
      <c r="T749" s="6"/>
      <c r="U749" s="122">
        <f>Q749*$U$6</f>
        <v>854</v>
      </c>
      <c r="V749" s="122">
        <f>Q749*$V$6</f>
        <v>13</v>
      </c>
      <c r="W749" s="122">
        <f>Q749*$W$6</f>
        <v>1003</v>
      </c>
      <c r="X749" s="6"/>
      <c r="Y749" s="6"/>
      <c r="Z749" s="6"/>
      <c r="AA749" s="19">
        <f>SUM(Q749:Z749)</f>
        <v>13102</v>
      </c>
      <c r="AB749" s="19">
        <f>$AA749*AB$7</f>
        <v>14119</v>
      </c>
      <c r="AC749" s="15">
        <f>AB749/D749</f>
        <v>588.29</v>
      </c>
      <c r="AD749" s="15">
        <f>AC749*D749</f>
        <v>14118.96</v>
      </c>
      <c r="AE749" s="25"/>
      <c r="AF749" s="157">
        <f t="shared" si="425"/>
        <v>-0.04</v>
      </c>
    </row>
    <row r="750" spans="1:32" s="4" customFormat="1" x14ac:dyDescent="0.25">
      <c r="A750" s="23" t="s">
        <v>1088</v>
      </c>
      <c r="B750" s="26" t="s">
        <v>1028</v>
      </c>
      <c r="C750" s="21"/>
      <c r="D750" s="212"/>
      <c r="E750" s="213"/>
      <c r="F750" s="216"/>
      <c r="G750" s="215"/>
      <c r="H750" s="19"/>
      <c r="I750" s="32"/>
      <c r="J750" s="22"/>
      <c r="K750" s="15"/>
      <c r="L750" s="15"/>
      <c r="M750" s="31"/>
      <c r="N750" s="31"/>
      <c r="O750" s="22"/>
      <c r="P750" s="19"/>
      <c r="Q750" s="19"/>
      <c r="R750" s="6"/>
      <c r="S750" s="6"/>
      <c r="T750" s="6"/>
      <c r="U750" s="122"/>
      <c r="V750" s="122"/>
      <c r="W750" s="122"/>
      <c r="X750" s="6"/>
      <c r="Y750" s="6"/>
      <c r="Z750" s="6"/>
      <c r="AA750" s="19"/>
      <c r="AB750" s="19"/>
      <c r="AC750" s="15"/>
      <c r="AD750" s="15"/>
      <c r="AE750" s="25"/>
      <c r="AF750" s="157">
        <f t="shared" si="425"/>
        <v>0</v>
      </c>
    </row>
    <row r="751" spans="1:32" s="4" customFormat="1" x14ac:dyDescent="0.25">
      <c r="A751" s="64" t="s">
        <v>1089</v>
      </c>
      <c r="B751" s="69" t="s">
        <v>1028</v>
      </c>
      <c r="C751" s="12" t="s">
        <v>360</v>
      </c>
      <c r="D751" s="13">
        <v>17</v>
      </c>
      <c r="E751" s="18"/>
      <c r="F751" s="215">
        <v>12723</v>
      </c>
      <c r="G751" s="215">
        <f t="shared" si="433"/>
        <v>1208</v>
      </c>
      <c r="H751" s="19">
        <f t="shared" si="434"/>
        <v>13931</v>
      </c>
      <c r="I751" s="15"/>
      <c r="J751" s="22"/>
      <c r="K751" s="15"/>
      <c r="L751" s="15"/>
      <c r="M751" s="22"/>
      <c r="N751" s="22"/>
      <c r="O751" s="22">
        <f t="shared" si="435"/>
        <v>188765</v>
      </c>
      <c r="P751" s="19">
        <f t="shared" si="436"/>
        <v>19065</v>
      </c>
      <c r="Q751" s="19">
        <f t="shared" si="437"/>
        <v>207830</v>
      </c>
      <c r="R751" s="6">
        <f t="shared" si="438"/>
        <v>2182</v>
      </c>
      <c r="S751" s="6"/>
      <c r="T751" s="6"/>
      <c r="U751" s="122">
        <f>Q751*$U$6</f>
        <v>15975</v>
      </c>
      <c r="V751" s="122">
        <f>Q751*$V$6</f>
        <v>245</v>
      </c>
      <c r="W751" s="122">
        <f>Q751*$W$6</f>
        <v>18760</v>
      </c>
      <c r="X751" s="6"/>
      <c r="Y751" s="6"/>
      <c r="Z751" s="6"/>
      <c r="AA751" s="19">
        <f>SUM(Q751:Z751)</f>
        <v>244992</v>
      </c>
      <c r="AB751" s="19">
        <f>$AA751*AB$7</f>
        <v>264008</v>
      </c>
      <c r="AC751" s="15">
        <f>AB751/D751</f>
        <v>15529.88</v>
      </c>
      <c r="AD751" s="15">
        <f>AC751*D751</f>
        <v>264007.96000000002</v>
      </c>
      <c r="AE751" s="25"/>
      <c r="AF751" s="157">
        <f t="shared" si="425"/>
        <v>-0.04</v>
      </c>
    </row>
    <row r="752" spans="1:32" s="91" customFormat="1" ht="25.5" x14ac:dyDescent="0.25">
      <c r="A752" s="233" t="s">
        <v>171</v>
      </c>
      <c r="B752" s="234" t="s">
        <v>252</v>
      </c>
      <c r="C752" s="92"/>
      <c r="D752" s="93"/>
      <c r="E752" s="107"/>
      <c r="F752" s="107"/>
      <c r="G752" s="107"/>
      <c r="H752" s="111">
        <v>10345880</v>
      </c>
      <c r="I752" s="20"/>
      <c r="J752" s="20">
        <f>10345.88*1000</f>
        <v>10345880</v>
      </c>
      <c r="K752" s="20" t="s">
        <v>22</v>
      </c>
      <c r="L752" s="20">
        <f>H752-J752</f>
        <v>0</v>
      </c>
      <c r="M752" s="95">
        <v>140186570</v>
      </c>
      <c r="N752" s="50">
        <f>SUM(O754:O805)-M752</f>
        <v>77</v>
      </c>
      <c r="O752" s="95"/>
      <c r="P752" s="50"/>
      <c r="Q752" s="50"/>
      <c r="R752" s="50"/>
      <c r="S752" s="99"/>
      <c r="T752" s="99"/>
      <c r="U752" s="122"/>
      <c r="V752" s="122"/>
      <c r="W752" s="122"/>
      <c r="X752" s="99"/>
      <c r="Y752" s="6"/>
      <c r="Z752" s="99"/>
      <c r="AA752" s="50"/>
      <c r="AB752" s="50"/>
      <c r="AC752" s="20"/>
      <c r="AD752" s="20"/>
      <c r="AE752" s="97"/>
      <c r="AF752" s="157">
        <f t="shared" si="425"/>
        <v>0</v>
      </c>
    </row>
    <row r="753" spans="1:32" x14ac:dyDescent="0.2">
      <c r="A753" s="23" t="s">
        <v>1090</v>
      </c>
      <c r="B753" s="57" t="s">
        <v>121</v>
      </c>
      <c r="C753" s="186"/>
      <c r="D753" s="15"/>
      <c r="E753" s="18"/>
      <c r="F753" s="18"/>
      <c r="G753" s="219">
        <f>568355.23/SUM(F754:F805)</f>
        <v>5.8128800000000001E-2</v>
      </c>
      <c r="H753" s="31">
        <f>H752-SUM(H754:H805)</f>
        <v>2</v>
      </c>
      <c r="I753" s="15"/>
      <c r="J753" s="22"/>
      <c r="K753" s="15"/>
      <c r="L753" s="15"/>
      <c r="M753" s="22"/>
      <c r="N753" s="22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6"/>
      <c r="Z753" s="31"/>
      <c r="AA753" s="31"/>
      <c r="AB753" s="31"/>
      <c r="AC753" s="31"/>
      <c r="AD753" s="31"/>
      <c r="AE753" s="25"/>
      <c r="AF753" s="157">
        <f t="shared" si="425"/>
        <v>0</v>
      </c>
    </row>
    <row r="754" spans="1:32" x14ac:dyDescent="0.2">
      <c r="A754" s="64" t="s">
        <v>251</v>
      </c>
      <c r="B754" s="235" t="s">
        <v>123</v>
      </c>
      <c r="C754" s="16" t="s">
        <v>70</v>
      </c>
      <c r="D754" s="15">
        <v>158.27000000000001</v>
      </c>
      <c r="E754" s="18"/>
      <c r="F754" s="215">
        <v>1270169</v>
      </c>
      <c r="G754" s="215">
        <f>F754*$G$753</f>
        <v>73833</v>
      </c>
      <c r="H754" s="19">
        <f>F754+G754</f>
        <v>1344002</v>
      </c>
      <c r="I754" s="15"/>
      <c r="J754" s="22"/>
      <c r="K754" s="15"/>
      <c r="L754" s="15"/>
      <c r="M754" s="22"/>
      <c r="N754" s="22"/>
      <c r="O754" s="22">
        <f>H754*13.55</f>
        <v>18211227</v>
      </c>
      <c r="P754" s="19">
        <f>O754*4.1%</f>
        <v>746660</v>
      </c>
      <c r="Q754" s="19">
        <f>SUM(O754:P754)</f>
        <v>18957887</v>
      </c>
      <c r="R754" s="6">
        <f>Q754*1.05%</f>
        <v>199058</v>
      </c>
      <c r="S754" s="6"/>
      <c r="T754" s="6"/>
      <c r="U754" s="122">
        <f t="shared" ref="U754:U761" si="467">Q754*$U$6</f>
        <v>1457237</v>
      </c>
      <c r="V754" s="122">
        <f t="shared" ref="V754:V761" si="468">Q754*$V$6</f>
        <v>22322</v>
      </c>
      <c r="W754" s="122">
        <f t="shared" ref="W754:W761" si="469">Q754*$W$6</f>
        <v>1711270</v>
      </c>
      <c r="X754" s="6"/>
      <c r="Y754" s="6"/>
      <c r="Z754" s="6"/>
      <c r="AA754" s="19">
        <f t="shared" ref="AA754:AA761" si="470">SUM(Q754:Z754)</f>
        <v>22347774</v>
      </c>
      <c r="AB754" s="19">
        <f t="shared" ref="AB754:AB761" si="471">$AA754*AB$7</f>
        <v>24082408</v>
      </c>
      <c r="AC754" s="15">
        <f t="shared" ref="AC754:AC761" si="472">AB754/D754</f>
        <v>152160.28</v>
      </c>
      <c r="AD754" s="15">
        <f t="shared" ref="AD754:AD761" si="473">AC754*D754</f>
        <v>24082407.52</v>
      </c>
      <c r="AE754" s="25"/>
      <c r="AF754" s="157">
        <f t="shared" si="425"/>
        <v>-0.48</v>
      </c>
    </row>
    <row r="755" spans="1:32" s="4" customFormat="1" x14ac:dyDescent="0.25">
      <c r="A755" s="64" t="s">
        <v>1045</v>
      </c>
      <c r="B755" s="69" t="s">
        <v>867</v>
      </c>
      <c r="C755" s="12" t="s">
        <v>70</v>
      </c>
      <c r="D755" s="13">
        <v>17.8</v>
      </c>
      <c r="E755" s="18"/>
      <c r="F755" s="215">
        <v>14044</v>
      </c>
      <c r="G755" s="215">
        <f t="shared" ref="G755:G805" si="474">F755*$G$753</f>
        <v>816</v>
      </c>
      <c r="H755" s="19">
        <f t="shared" ref="H755:H805" si="475">F755+G755</f>
        <v>14860</v>
      </c>
      <c r="I755" s="15"/>
      <c r="J755" s="22"/>
      <c r="K755" s="15"/>
      <c r="L755" s="15"/>
      <c r="M755" s="22"/>
      <c r="N755" s="22"/>
      <c r="O755" s="22">
        <f t="shared" ref="O755:O805" si="476">H755*13.55</f>
        <v>201353</v>
      </c>
      <c r="P755" s="19">
        <f t="shared" ref="P755:P805" si="477">O755*4.1%</f>
        <v>8255</v>
      </c>
      <c r="Q755" s="19">
        <f t="shared" ref="Q755:Q805" si="478">SUM(O755:P755)</f>
        <v>209608</v>
      </c>
      <c r="R755" s="6">
        <f t="shared" ref="R755:R805" si="479">Q755*1.05%</f>
        <v>2201</v>
      </c>
      <c r="S755" s="6"/>
      <c r="T755" s="6"/>
      <c r="U755" s="122">
        <f t="shared" si="467"/>
        <v>16112</v>
      </c>
      <c r="V755" s="122">
        <f t="shared" si="468"/>
        <v>247</v>
      </c>
      <c r="W755" s="122">
        <f t="shared" si="469"/>
        <v>18921</v>
      </c>
      <c r="X755" s="6"/>
      <c r="Y755" s="6"/>
      <c r="Z755" s="6"/>
      <c r="AA755" s="19">
        <f t="shared" si="470"/>
        <v>247089</v>
      </c>
      <c r="AB755" s="19">
        <f t="shared" si="471"/>
        <v>266268</v>
      </c>
      <c r="AC755" s="15">
        <f t="shared" si="472"/>
        <v>14958.88</v>
      </c>
      <c r="AD755" s="15">
        <f t="shared" si="473"/>
        <v>266268.06</v>
      </c>
      <c r="AE755" s="25"/>
      <c r="AF755" s="157">
        <f t="shared" ref="AF755:AF800" si="480">AD755-AB755</f>
        <v>0.06</v>
      </c>
    </row>
    <row r="756" spans="1:32" s="4" customFormat="1" x14ac:dyDescent="0.25">
      <c r="A756" s="64" t="s">
        <v>1046</v>
      </c>
      <c r="B756" s="69" t="s">
        <v>868</v>
      </c>
      <c r="C756" s="12" t="s">
        <v>70</v>
      </c>
      <c r="D756" s="13">
        <v>151.19999999999999</v>
      </c>
      <c r="E756" s="18"/>
      <c r="F756" s="215">
        <v>571686</v>
      </c>
      <c r="G756" s="215">
        <f t="shared" si="474"/>
        <v>33231</v>
      </c>
      <c r="H756" s="19">
        <f t="shared" si="475"/>
        <v>604917</v>
      </c>
      <c r="I756" s="15"/>
      <c r="J756" s="22"/>
      <c r="K756" s="15"/>
      <c r="L756" s="15"/>
      <c r="M756" s="22"/>
      <c r="N756" s="22"/>
      <c r="O756" s="22">
        <f t="shared" si="476"/>
        <v>8196625</v>
      </c>
      <c r="P756" s="19">
        <f t="shared" si="477"/>
        <v>336062</v>
      </c>
      <c r="Q756" s="19">
        <f t="shared" si="478"/>
        <v>8532687</v>
      </c>
      <c r="R756" s="6">
        <f t="shared" si="479"/>
        <v>89593</v>
      </c>
      <c r="S756" s="6"/>
      <c r="T756" s="6"/>
      <c r="U756" s="122">
        <f t="shared" si="467"/>
        <v>655883</v>
      </c>
      <c r="V756" s="122">
        <f t="shared" si="468"/>
        <v>10047</v>
      </c>
      <c r="W756" s="122">
        <f t="shared" si="469"/>
        <v>770219</v>
      </c>
      <c r="X756" s="6"/>
      <c r="Y756" s="6"/>
      <c r="Z756" s="6"/>
      <c r="AA756" s="19">
        <f t="shared" si="470"/>
        <v>10058429</v>
      </c>
      <c r="AB756" s="19">
        <f t="shared" si="471"/>
        <v>10839164</v>
      </c>
      <c r="AC756" s="15">
        <f t="shared" si="472"/>
        <v>71687.59</v>
      </c>
      <c r="AD756" s="15">
        <f t="shared" si="473"/>
        <v>10839163.609999999</v>
      </c>
      <c r="AE756" s="25"/>
      <c r="AF756" s="157">
        <f t="shared" si="480"/>
        <v>-0.39</v>
      </c>
    </row>
    <row r="757" spans="1:32" s="4" customFormat="1" x14ac:dyDescent="0.25">
      <c r="A757" s="64" t="s">
        <v>1047</v>
      </c>
      <c r="B757" s="69" t="s">
        <v>869</v>
      </c>
      <c r="C757" s="12" t="s">
        <v>70</v>
      </c>
      <c r="D757" s="13">
        <v>263.3</v>
      </c>
      <c r="E757" s="18"/>
      <c r="F757" s="215">
        <v>1905919</v>
      </c>
      <c r="G757" s="215">
        <f t="shared" si="474"/>
        <v>110789</v>
      </c>
      <c r="H757" s="19">
        <f t="shared" si="475"/>
        <v>2016708</v>
      </c>
      <c r="I757" s="15"/>
      <c r="J757" s="22"/>
      <c r="K757" s="15"/>
      <c r="L757" s="15"/>
      <c r="M757" s="22"/>
      <c r="N757" s="22"/>
      <c r="O757" s="22">
        <f t="shared" si="476"/>
        <v>27326393</v>
      </c>
      <c r="P757" s="19">
        <f t="shared" si="477"/>
        <v>1120382</v>
      </c>
      <c r="Q757" s="19">
        <f t="shared" si="478"/>
        <v>28446775</v>
      </c>
      <c r="R757" s="6">
        <f t="shared" si="479"/>
        <v>298691</v>
      </c>
      <c r="S757" s="6"/>
      <c r="T757" s="6"/>
      <c r="U757" s="122">
        <f t="shared" si="467"/>
        <v>2186620</v>
      </c>
      <c r="V757" s="122">
        <f t="shared" si="468"/>
        <v>33494</v>
      </c>
      <c r="W757" s="122">
        <f t="shared" si="469"/>
        <v>2567802</v>
      </c>
      <c r="X757" s="6"/>
      <c r="Y757" s="6"/>
      <c r="Z757" s="6"/>
      <c r="AA757" s="19">
        <f t="shared" si="470"/>
        <v>33533382</v>
      </c>
      <c r="AB757" s="19">
        <f t="shared" si="471"/>
        <v>36136243</v>
      </c>
      <c r="AC757" s="15">
        <f t="shared" si="472"/>
        <v>137243.60999999999</v>
      </c>
      <c r="AD757" s="15">
        <f t="shared" si="473"/>
        <v>36136242.509999998</v>
      </c>
      <c r="AE757" s="25"/>
      <c r="AF757" s="157">
        <f t="shared" si="480"/>
        <v>-0.49</v>
      </c>
    </row>
    <row r="758" spans="1:32" s="4" customFormat="1" x14ac:dyDescent="0.25">
      <c r="A758" s="64" t="s">
        <v>1048</v>
      </c>
      <c r="B758" s="69" t="s">
        <v>870</v>
      </c>
      <c r="C758" s="12" t="s">
        <v>70</v>
      </c>
      <c r="D758" s="13">
        <v>23.6</v>
      </c>
      <c r="E758" s="18"/>
      <c r="F758" s="215">
        <v>72218</v>
      </c>
      <c r="G758" s="215">
        <f t="shared" si="474"/>
        <v>4198</v>
      </c>
      <c r="H758" s="19">
        <f t="shared" si="475"/>
        <v>76416</v>
      </c>
      <c r="I758" s="15"/>
      <c r="J758" s="22"/>
      <c r="K758" s="15"/>
      <c r="L758" s="15"/>
      <c r="M758" s="22"/>
      <c r="N758" s="22"/>
      <c r="O758" s="22">
        <f t="shared" si="476"/>
        <v>1035437</v>
      </c>
      <c r="P758" s="19">
        <f t="shared" si="477"/>
        <v>42453</v>
      </c>
      <c r="Q758" s="19">
        <f t="shared" si="478"/>
        <v>1077890</v>
      </c>
      <c r="R758" s="6">
        <f t="shared" si="479"/>
        <v>11318</v>
      </c>
      <c r="S758" s="6"/>
      <c r="T758" s="6"/>
      <c r="U758" s="122">
        <f t="shared" si="467"/>
        <v>82854</v>
      </c>
      <c r="V758" s="122">
        <f t="shared" si="468"/>
        <v>1269</v>
      </c>
      <c r="W758" s="122">
        <f t="shared" si="469"/>
        <v>97298</v>
      </c>
      <c r="X758" s="6"/>
      <c r="Y758" s="6"/>
      <c r="Z758" s="6"/>
      <c r="AA758" s="19">
        <f t="shared" si="470"/>
        <v>1270629</v>
      </c>
      <c r="AB758" s="19">
        <f t="shared" si="471"/>
        <v>1369255</v>
      </c>
      <c r="AC758" s="15">
        <f t="shared" si="472"/>
        <v>58019.28</v>
      </c>
      <c r="AD758" s="15">
        <f t="shared" si="473"/>
        <v>1369255.01</v>
      </c>
      <c r="AE758" s="25"/>
      <c r="AF758" s="157">
        <f t="shared" ref="AF758:AF759" si="481">AD758-AB758</f>
        <v>0.01</v>
      </c>
    </row>
    <row r="759" spans="1:32" s="4" customFormat="1" ht="25.5" x14ac:dyDescent="0.25">
      <c r="A759" s="64" t="s">
        <v>1049</v>
      </c>
      <c r="B759" s="69" t="s">
        <v>871</v>
      </c>
      <c r="C759" s="12" t="s">
        <v>70</v>
      </c>
      <c r="D759" s="13">
        <v>19.600000000000001</v>
      </c>
      <c r="E759" s="18"/>
      <c r="F759" s="215">
        <v>271103</v>
      </c>
      <c r="G759" s="215">
        <f t="shared" si="474"/>
        <v>15759</v>
      </c>
      <c r="H759" s="19">
        <f t="shared" si="475"/>
        <v>286862</v>
      </c>
      <c r="I759" s="15"/>
      <c r="J759" s="22"/>
      <c r="K759" s="15"/>
      <c r="L759" s="15"/>
      <c r="M759" s="22"/>
      <c r="N759" s="22"/>
      <c r="O759" s="22">
        <f t="shared" si="476"/>
        <v>3886980</v>
      </c>
      <c r="P759" s="19">
        <f t="shared" si="477"/>
        <v>159366</v>
      </c>
      <c r="Q759" s="19">
        <f t="shared" si="478"/>
        <v>4046346</v>
      </c>
      <c r="R759" s="6">
        <f t="shared" si="479"/>
        <v>42487</v>
      </c>
      <c r="S759" s="6"/>
      <c r="T759" s="6"/>
      <c r="U759" s="122">
        <f t="shared" si="467"/>
        <v>311031</v>
      </c>
      <c r="V759" s="122">
        <f t="shared" si="468"/>
        <v>4764</v>
      </c>
      <c r="W759" s="122">
        <f t="shared" si="469"/>
        <v>365251</v>
      </c>
      <c r="X759" s="6"/>
      <c r="Y759" s="6"/>
      <c r="Z759" s="6"/>
      <c r="AA759" s="19">
        <f t="shared" si="470"/>
        <v>4769879</v>
      </c>
      <c r="AB759" s="19">
        <f t="shared" si="471"/>
        <v>5140117</v>
      </c>
      <c r="AC759" s="15">
        <f t="shared" si="472"/>
        <v>262250.87</v>
      </c>
      <c r="AD759" s="15">
        <f t="shared" si="473"/>
        <v>5140117.05</v>
      </c>
      <c r="AE759" s="25"/>
      <c r="AF759" s="157">
        <f t="shared" si="481"/>
        <v>0.05</v>
      </c>
    </row>
    <row r="760" spans="1:32" s="4" customFormat="1" x14ac:dyDescent="0.25">
      <c r="A760" s="64" t="s">
        <v>1048</v>
      </c>
      <c r="B760" s="69" t="s">
        <v>872</v>
      </c>
      <c r="C760" s="12" t="s">
        <v>72</v>
      </c>
      <c r="D760" s="13">
        <v>822</v>
      </c>
      <c r="E760" s="18"/>
      <c r="F760" s="215">
        <v>71275</v>
      </c>
      <c r="G760" s="215">
        <f t="shared" si="474"/>
        <v>4143</v>
      </c>
      <c r="H760" s="19">
        <f t="shared" si="475"/>
        <v>75418</v>
      </c>
      <c r="I760" s="15"/>
      <c r="J760" s="22"/>
      <c r="K760" s="15"/>
      <c r="L760" s="15"/>
      <c r="M760" s="22"/>
      <c r="N760" s="22"/>
      <c r="O760" s="22">
        <f t="shared" si="476"/>
        <v>1021914</v>
      </c>
      <c r="P760" s="19">
        <f t="shared" si="477"/>
        <v>41898</v>
      </c>
      <c r="Q760" s="19">
        <f t="shared" si="478"/>
        <v>1063812</v>
      </c>
      <c r="R760" s="6">
        <f t="shared" si="479"/>
        <v>11170</v>
      </c>
      <c r="S760" s="6"/>
      <c r="T760" s="6"/>
      <c r="U760" s="122">
        <f t="shared" si="467"/>
        <v>81772</v>
      </c>
      <c r="V760" s="122">
        <f t="shared" si="468"/>
        <v>1253</v>
      </c>
      <c r="W760" s="122">
        <f t="shared" si="469"/>
        <v>96027</v>
      </c>
      <c r="X760" s="6"/>
      <c r="Y760" s="6"/>
      <c r="Z760" s="6"/>
      <c r="AA760" s="19">
        <f t="shared" si="470"/>
        <v>1254034</v>
      </c>
      <c r="AB760" s="19">
        <f t="shared" si="471"/>
        <v>1351372</v>
      </c>
      <c r="AC760" s="15">
        <f t="shared" si="472"/>
        <v>1644</v>
      </c>
      <c r="AD760" s="15">
        <f t="shared" si="473"/>
        <v>1351368</v>
      </c>
      <c r="AE760" s="25"/>
      <c r="AF760" s="157">
        <f t="shared" si="480"/>
        <v>-4</v>
      </c>
    </row>
    <row r="761" spans="1:32" s="4" customFormat="1" ht="25.5" x14ac:dyDescent="0.25">
      <c r="A761" s="64" t="s">
        <v>1049</v>
      </c>
      <c r="B761" s="69" t="s">
        <v>873</v>
      </c>
      <c r="C761" s="12" t="s">
        <v>72</v>
      </c>
      <c r="D761" s="13">
        <v>698</v>
      </c>
      <c r="E761" s="18"/>
      <c r="F761" s="215">
        <v>39874</v>
      </c>
      <c r="G761" s="215">
        <f t="shared" si="474"/>
        <v>2318</v>
      </c>
      <c r="H761" s="19">
        <f t="shared" si="475"/>
        <v>42192</v>
      </c>
      <c r="I761" s="15"/>
      <c r="J761" s="22"/>
      <c r="K761" s="15"/>
      <c r="L761" s="15"/>
      <c r="M761" s="22"/>
      <c r="N761" s="22"/>
      <c r="O761" s="22">
        <f t="shared" si="476"/>
        <v>571702</v>
      </c>
      <c r="P761" s="19">
        <f t="shared" si="477"/>
        <v>23440</v>
      </c>
      <c r="Q761" s="19">
        <f t="shared" si="478"/>
        <v>595142</v>
      </c>
      <c r="R761" s="6">
        <f t="shared" si="479"/>
        <v>6249</v>
      </c>
      <c r="S761" s="6"/>
      <c r="T761" s="6"/>
      <c r="U761" s="122">
        <f t="shared" si="467"/>
        <v>45747</v>
      </c>
      <c r="V761" s="122">
        <f t="shared" si="468"/>
        <v>701</v>
      </c>
      <c r="W761" s="122">
        <f t="shared" si="469"/>
        <v>53722</v>
      </c>
      <c r="X761" s="6"/>
      <c r="Y761" s="6"/>
      <c r="Z761" s="6"/>
      <c r="AA761" s="19">
        <f t="shared" si="470"/>
        <v>701561</v>
      </c>
      <c r="AB761" s="19">
        <f t="shared" si="471"/>
        <v>756016</v>
      </c>
      <c r="AC761" s="15">
        <f t="shared" si="472"/>
        <v>1083.1199999999999</v>
      </c>
      <c r="AD761" s="15">
        <f t="shared" si="473"/>
        <v>756017.76</v>
      </c>
      <c r="AE761" s="25"/>
      <c r="AF761" s="157">
        <f t="shared" si="480"/>
        <v>1.76</v>
      </c>
    </row>
    <row r="762" spans="1:32" s="4" customFormat="1" x14ac:dyDescent="0.25">
      <c r="A762" s="23" t="s">
        <v>1091</v>
      </c>
      <c r="B762" s="26" t="s">
        <v>874</v>
      </c>
      <c r="C762" s="21"/>
      <c r="D762" s="212"/>
      <c r="E762" s="213"/>
      <c r="F762" s="216"/>
      <c r="G762" s="215"/>
      <c r="H762" s="19"/>
      <c r="I762" s="32"/>
      <c r="J762" s="22"/>
      <c r="K762" s="15"/>
      <c r="L762" s="15"/>
      <c r="M762" s="31"/>
      <c r="N762" s="31"/>
      <c r="O762" s="22"/>
      <c r="P762" s="19"/>
      <c r="Q762" s="19"/>
      <c r="R762" s="6"/>
      <c r="S762" s="6"/>
      <c r="T762" s="6"/>
      <c r="U762" s="122"/>
      <c r="V762" s="122"/>
      <c r="W762" s="122"/>
      <c r="X762" s="6"/>
      <c r="Y762" s="6"/>
      <c r="Z762" s="6"/>
      <c r="AA762" s="19"/>
      <c r="AB762" s="19"/>
      <c r="AC762" s="15"/>
      <c r="AD762" s="15"/>
      <c r="AE762" s="25"/>
      <c r="AF762" s="157">
        <f t="shared" si="480"/>
        <v>0</v>
      </c>
    </row>
    <row r="763" spans="1:32" s="4" customFormat="1" x14ac:dyDescent="0.25">
      <c r="A763" s="64" t="s">
        <v>1092</v>
      </c>
      <c r="B763" s="69" t="s">
        <v>123</v>
      </c>
      <c r="C763" s="12" t="s">
        <v>70</v>
      </c>
      <c r="D763" s="13">
        <v>43.47</v>
      </c>
      <c r="E763" s="18"/>
      <c r="F763" s="215">
        <v>325618</v>
      </c>
      <c r="G763" s="215">
        <f t="shared" si="474"/>
        <v>18928</v>
      </c>
      <c r="H763" s="19">
        <f t="shared" si="475"/>
        <v>344546</v>
      </c>
      <c r="I763" s="15"/>
      <c r="J763" s="22"/>
      <c r="K763" s="15"/>
      <c r="L763" s="15"/>
      <c r="M763" s="22"/>
      <c r="N763" s="22"/>
      <c r="O763" s="22">
        <f t="shared" si="476"/>
        <v>4668598</v>
      </c>
      <c r="P763" s="19">
        <f t="shared" si="477"/>
        <v>191413</v>
      </c>
      <c r="Q763" s="19">
        <f t="shared" si="478"/>
        <v>4860011</v>
      </c>
      <c r="R763" s="6">
        <f t="shared" si="479"/>
        <v>51030</v>
      </c>
      <c r="S763" s="6"/>
      <c r="T763" s="6"/>
      <c r="U763" s="122">
        <f t="shared" ref="U763:U768" si="482">Q763*$U$6</f>
        <v>373575</v>
      </c>
      <c r="V763" s="122">
        <f t="shared" ref="V763:V768" si="483">Q763*$V$6</f>
        <v>5722</v>
      </c>
      <c r="W763" s="122">
        <f t="shared" ref="W763:W768" si="484">Q763*$W$6</f>
        <v>438698</v>
      </c>
      <c r="X763" s="6"/>
      <c r="Y763" s="6"/>
      <c r="Z763" s="6"/>
      <c r="AA763" s="19">
        <f t="shared" ref="AA763:AA768" si="485">SUM(Q763:Z763)</f>
        <v>5729036</v>
      </c>
      <c r="AB763" s="19">
        <f t="shared" ref="AB763:AB768" si="486">$AA763*AB$7</f>
        <v>6173724</v>
      </c>
      <c r="AC763" s="15">
        <f t="shared" ref="AC763:AC768" si="487">AB763/D763</f>
        <v>142022.64000000001</v>
      </c>
      <c r="AD763" s="15">
        <f t="shared" ref="AD763:AD768" si="488">AC763*D763</f>
        <v>6173724.1600000001</v>
      </c>
      <c r="AE763" s="25"/>
      <c r="AF763" s="157">
        <f t="shared" si="480"/>
        <v>0.16</v>
      </c>
    </row>
    <row r="764" spans="1:32" s="4" customFormat="1" x14ac:dyDescent="0.25">
      <c r="A764" s="64" t="s">
        <v>1093</v>
      </c>
      <c r="B764" s="69" t="s">
        <v>867</v>
      </c>
      <c r="C764" s="12" t="s">
        <v>70</v>
      </c>
      <c r="D764" s="13">
        <v>4</v>
      </c>
      <c r="E764" s="18"/>
      <c r="F764" s="215">
        <v>3156</v>
      </c>
      <c r="G764" s="215">
        <f t="shared" si="474"/>
        <v>183</v>
      </c>
      <c r="H764" s="19">
        <f t="shared" si="475"/>
        <v>3339</v>
      </c>
      <c r="I764" s="15"/>
      <c r="J764" s="22"/>
      <c r="K764" s="15"/>
      <c r="L764" s="15"/>
      <c r="M764" s="22"/>
      <c r="N764" s="22"/>
      <c r="O764" s="22">
        <f t="shared" si="476"/>
        <v>45243</v>
      </c>
      <c r="P764" s="19">
        <f t="shared" si="477"/>
        <v>1855</v>
      </c>
      <c r="Q764" s="19">
        <f t="shared" si="478"/>
        <v>47098</v>
      </c>
      <c r="R764" s="6">
        <f t="shared" si="479"/>
        <v>495</v>
      </c>
      <c r="S764" s="6"/>
      <c r="T764" s="6"/>
      <c r="U764" s="122">
        <f t="shared" si="482"/>
        <v>3620</v>
      </c>
      <c r="V764" s="122">
        <f t="shared" si="483"/>
        <v>55</v>
      </c>
      <c r="W764" s="122">
        <f t="shared" si="484"/>
        <v>4251</v>
      </c>
      <c r="X764" s="6"/>
      <c r="Y764" s="6"/>
      <c r="Z764" s="6"/>
      <c r="AA764" s="19">
        <f t="shared" si="485"/>
        <v>55519</v>
      </c>
      <c r="AB764" s="19">
        <f t="shared" si="486"/>
        <v>59828</v>
      </c>
      <c r="AC764" s="15">
        <f t="shared" si="487"/>
        <v>14957</v>
      </c>
      <c r="AD764" s="15">
        <f t="shared" si="488"/>
        <v>59828</v>
      </c>
      <c r="AE764" s="25"/>
      <c r="AF764" s="157">
        <f t="shared" si="480"/>
        <v>0</v>
      </c>
    </row>
    <row r="765" spans="1:32" s="4" customFormat="1" x14ac:dyDescent="0.25">
      <c r="A765" s="64" t="s">
        <v>1094</v>
      </c>
      <c r="B765" s="69" t="s">
        <v>868</v>
      </c>
      <c r="C765" s="12" t="s">
        <v>70</v>
      </c>
      <c r="D765" s="13">
        <v>47.7</v>
      </c>
      <c r="E765" s="18"/>
      <c r="F765" s="215">
        <v>140157</v>
      </c>
      <c r="G765" s="215">
        <f t="shared" si="474"/>
        <v>8147</v>
      </c>
      <c r="H765" s="19">
        <f t="shared" si="475"/>
        <v>148304</v>
      </c>
      <c r="I765" s="15"/>
      <c r="J765" s="22"/>
      <c r="K765" s="15"/>
      <c r="L765" s="15"/>
      <c r="M765" s="22"/>
      <c r="N765" s="22"/>
      <c r="O765" s="22">
        <f t="shared" si="476"/>
        <v>2009519</v>
      </c>
      <c r="P765" s="19">
        <f t="shared" si="477"/>
        <v>82390</v>
      </c>
      <c r="Q765" s="19">
        <f t="shared" si="478"/>
        <v>2091909</v>
      </c>
      <c r="R765" s="6">
        <f t="shared" si="479"/>
        <v>21965</v>
      </c>
      <c r="S765" s="6"/>
      <c r="T765" s="6"/>
      <c r="U765" s="122">
        <f t="shared" si="482"/>
        <v>160799</v>
      </c>
      <c r="V765" s="122">
        <f t="shared" si="483"/>
        <v>2463</v>
      </c>
      <c r="W765" s="122">
        <f t="shared" si="484"/>
        <v>188830</v>
      </c>
      <c r="X765" s="6"/>
      <c r="Y765" s="6"/>
      <c r="Z765" s="6"/>
      <c r="AA765" s="19">
        <f t="shared" si="485"/>
        <v>2465966</v>
      </c>
      <c r="AB765" s="19">
        <f t="shared" si="486"/>
        <v>2657374</v>
      </c>
      <c r="AC765" s="15">
        <f t="shared" si="487"/>
        <v>55710.15</v>
      </c>
      <c r="AD765" s="15">
        <f t="shared" si="488"/>
        <v>2657374.16</v>
      </c>
      <c r="AE765" s="25"/>
      <c r="AF765" s="157">
        <f t="shared" si="480"/>
        <v>0.16</v>
      </c>
    </row>
    <row r="766" spans="1:32" s="4" customFormat="1" x14ac:dyDescent="0.25">
      <c r="A766" s="64" t="s">
        <v>1095</v>
      </c>
      <c r="B766" s="69" t="s">
        <v>869</v>
      </c>
      <c r="C766" s="12" t="s">
        <v>70</v>
      </c>
      <c r="D766" s="13">
        <v>12.3</v>
      </c>
      <c r="E766" s="18"/>
      <c r="F766" s="215">
        <v>140285</v>
      </c>
      <c r="G766" s="215">
        <f t="shared" si="474"/>
        <v>8155</v>
      </c>
      <c r="H766" s="19">
        <f t="shared" si="475"/>
        <v>148440</v>
      </c>
      <c r="I766" s="15"/>
      <c r="J766" s="22"/>
      <c r="K766" s="15"/>
      <c r="L766" s="15"/>
      <c r="M766" s="22"/>
      <c r="N766" s="22"/>
      <c r="O766" s="22">
        <f t="shared" si="476"/>
        <v>2011362</v>
      </c>
      <c r="P766" s="19">
        <f t="shared" si="477"/>
        <v>82466</v>
      </c>
      <c r="Q766" s="19">
        <f t="shared" si="478"/>
        <v>2093828</v>
      </c>
      <c r="R766" s="6">
        <f t="shared" si="479"/>
        <v>21985</v>
      </c>
      <c r="S766" s="6"/>
      <c r="T766" s="6"/>
      <c r="U766" s="122">
        <f t="shared" si="482"/>
        <v>160946</v>
      </c>
      <c r="V766" s="122">
        <f t="shared" si="483"/>
        <v>2465</v>
      </c>
      <c r="W766" s="122">
        <f t="shared" si="484"/>
        <v>189003</v>
      </c>
      <c r="X766" s="6"/>
      <c r="Y766" s="6"/>
      <c r="Z766" s="6"/>
      <c r="AA766" s="19">
        <f t="shared" si="485"/>
        <v>2468227</v>
      </c>
      <c r="AB766" s="19">
        <f t="shared" si="486"/>
        <v>2659811</v>
      </c>
      <c r="AC766" s="15">
        <f t="shared" si="487"/>
        <v>216244.8</v>
      </c>
      <c r="AD766" s="15">
        <f t="shared" si="488"/>
        <v>2659811.04</v>
      </c>
      <c r="AE766" s="25"/>
      <c r="AF766" s="157">
        <f t="shared" si="480"/>
        <v>0.04</v>
      </c>
    </row>
    <row r="767" spans="1:32" s="4" customFormat="1" ht="25.5" x14ac:dyDescent="0.25">
      <c r="A767" s="64" t="s">
        <v>1096</v>
      </c>
      <c r="B767" s="69" t="s">
        <v>875</v>
      </c>
      <c r="C767" s="12" t="s">
        <v>70</v>
      </c>
      <c r="D767" s="13">
        <v>20.8</v>
      </c>
      <c r="E767" s="18"/>
      <c r="F767" s="215">
        <v>240696</v>
      </c>
      <c r="G767" s="215">
        <f t="shared" si="474"/>
        <v>13991</v>
      </c>
      <c r="H767" s="19">
        <f t="shared" si="475"/>
        <v>254687</v>
      </c>
      <c r="I767" s="15"/>
      <c r="J767" s="22"/>
      <c r="K767" s="15"/>
      <c r="L767" s="15"/>
      <c r="M767" s="22"/>
      <c r="N767" s="22"/>
      <c r="O767" s="22">
        <f t="shared" si="476"/>
        <v>3451009</v>
      </c>
      <c r="P767" s="19">
        <f t="shared" si="477"/>
        <v>141491</v>
      </c>
      <c r="Q767" s="19">
        <f t="shared" si="478"/>
        <v>3592500</v>
      </c>
      <c r="R767" s="6">
        <f t="shared" si="479"/>
        <v>37721</v>
      </c>
      <c r="S767" s="6"/>
      <c r="T767" s="6"/>
      <c r="U767" s="122">
        <f t="shared" si="482"/>
        <v>276145</v>
      </c>
      <c r="V767" s="122">
        <f t="shared" si="483"/>
        <v>4230</v>
      </c>
      <c r="W767" s="122">
        <f t="shared" si="484"/>
        <v>324284</v>
      </c>
      <c r="X767" s="6"/>
      <c r="Y767" s="6"/>
      <c r="Z767" s="6"/>
      <c r="AA767" s="19">
        <f t="shared" si="485"/>
        <v>4234880</v>
      </c>
      <c r="AB767" s="19">
        <f t="shared" si="486"/>
        <v>4563591</v>
      </c>
      <c r="AC767" s="15">
        <f t="shared" si="487"/>
        <v>219403.41</v>
      </c>
      <c r="AD767" s="15">
        <f t="shared" si="488"/>
        <v>4563590.93</v>
      </c>
      <c r="AE767" s="25"/>
      <c r="AF767" s="157">
        <f t="shared" si="480"/>
        <v>-7.0000000000000007E-2</v>
      </c>
    </row>
    <row r="768" spans="1:32" s="4" customFormat="1" ht="25.5" x14ac:dyDescent="0.25">
      <c r="A768" s="64" t="s">
        <v>1097</v>
      </c>
      <c r="B768" s="69" t="s">
        <v>876</v>
      </c>
      <c r="C768" s="12" t="s">
        <v>72</v>
      </c>
      <c r="D768" s="13">
        <v>125</v>
      </c>
      <c r="E768" s="18"/>
      <c r="F768" s="215">
        <v>6610</v>
      </c>
      <c r="G768" s="215">
        <f t="shared" si="474"/>
        <v>384</v>
      </c>
      <c r="H768" s="19">
        <f t="shared" si="475"/>
        <v>6994</v>
      </c>
      <c r="I768" s="15"/>
      <c r="J768" s="22"/>
      <c r="K768" s="15"/>
      <c r="L768" s="15"/>
      <c r="M768" s="22"/>
      <c r="N768" s="22"/>
      <c r="O768" s="22">
        <f t="shared" si="476"/>
        <v>94769</v>
      </c>
      <c r="P768" s="19">
        <f t="shared" si="477"/>
        <v>3886</v>
      </c>
      <c r="Q768" s="19">
        <f t="shared" si="478"/>
        <v>98655</v>
      </c>
      <c r="R768" s="6">
        <f t="shared" si="479"/>
        <v>1036</v>
      </c>
      <c r="S768" s="6"/>
      <c r="T768" s="6"/>
      <c r="U768" s="122">
        <f t="shared" si="482"/>
        <v>7583</v>
      </c>
      <c r="V768" s="122">
        <f t="shared" si="483"/>
        <v>116</v>
      </c>
      <c r="W768" s="122">
        <f t="shared" si="484"/>
        <v>8905</v>
      </c>
      <c r="X768" s="6"/>
      <c r="Y768" s="6"/>
      <c r="Z768" s="6"/>
      <c r="AA768" s="19">
        <f t="shared" si="485"/>
        <v>116295</v>
      </c>
      <c r="AB768" s="19">
        <f t="shared" si="486"/>
        <v>125322</v>
      </c>
      <c r="AC768" s="15">
        <f t="shared" si="487"/>
        <v>1002.58</v>
      </c>
      <c r="AD768" s="15">
        <f t="shared" si="488"/>
        <v>125322.5</v>
      </c>
      <c r="AE768" s="25"/>
      <c r="AF768" s="157">
        <f t="shared" ref="AF768" si="489">AD768-AB768</f>
        <v>0.5</v>
      </c>
    </row>
    <row r="769" spans="1:32" s="4" customFormat="1" ht="25.5" x14ac:dyDescent="0.25">
      <c r="A769" s="23" t="s">
        <v>1098</v>
      </c>
      <c r="B769" s="26" t="s">
        <v>877</v>
      </c>
      <c r="C769" s="21"/>
      <c r="D769" s="212"/>
      <c r="E769" s="213"/>
      <c r="F769" s="216"/>
      <c r="G769" s="215"/>
      <c r="H769" s="19"/>
      <c r="I769" s="32"/>
      <c r="J769" s="22"/>
      <c r="K769" s="15"/>
      <c r="L769" s="15"/>
      <c r="M769" s="31"/>
      <c r="N769" s="31"/>
      <c r="O769" s="22"/>
      <c r="P769" s="19"/>
      <c r="Q769" s="19"/>
      <c r="R769" s="6"/>
      <c r="S769" s="6"/>
      <c r="T769" s="6"/>
      <c r="U769" s="122"/>
      <c r="V769" s="122"/>
      <c r="W769" s="122"/>
      <c r="X769" s="6"/>
      <c r="Y769" s="6"/>
      <c r="Z769" s="6"/>
      <c r="AA769" s="19"/>
      <c r="AB769" s="19"/>
      <c r="AC769" s="15"/>
      <c r="AD769" s="15"/>
      <c r="AE769" s="25"/>
      <c r="AF769" s="157">
        <f t="shared" si="480"/>
        <v>0</v>
      </c>
    </row>
    <row r="770" spans="1:32" s="4" customFormat="1" x14ac:dyDescent="0.25">
      <c r="A770" s="64" t="s">
        <v>1099</v>
      </c>
      <c r="B770" s="69" t="s">
        <v>878</v>
      </c>
      <c r="C770" s="12" t="s">
        <v>311</v>
      </c>
      <c r="D770" s="13">
        <v>0.83</v>
      </c>
      <c r="E770" s="18"/>
      <c r="F770" s="215">
        <v>24200</v>
      </c>
      <c r="G770" s="215">
        <f t="shared" si="474"/>
        <v>1407</v>
      </c>
      <c r="H770" s="19">
        <f t="shared" si="475"/>
        <v>25607</v>
      </c>
      <c r="I770" s="15"/>
      <c r="J770" s="22"/>
      <c r="K770" s="15"/>
      <c r="L770" s="15"/>
      <c r="M770" s="22"/>
      <c r="N770" s="22"/>
      <c r="O770" s="22">
        <f t="shared" si="476"/>
        <v>346975</v>
      </c>
      <c r="P770" s="19">
        <f t="shared" si="477"/>
        <v>14226</v>
      </c>
      <c r="Q770" s="19">
        <f t="shared" si="478"/>
        <v>361201</v>
      </c>
      <c r="R770" s="6">
        <f t="shared" si="479"/>
        <v>3793</v>
      </c>
      <c r="S770" s="6"/>
      <c r="T770" s="6"/>
      <c r="U770" s="122">
        <f t="shared" ref="U770:U776" si="490">Q770*$U$6</f>
        <v>27764</v>
      </c>
      <c r="V770" s="122">
        <f t="shared" ref="V770:V776" si="491">Q770*$V$6</f>
        <v>425</v>
      </c>
      <c r="W770" s="122">
        <f t="shared" ref="W770:W776" si="492">Q770*$W$6</f>
        <v>32604</v>
      </c>
      <c r="X770" s="6"/>
      <c r="Y770" s="6"/>
      <c r="Z770" s="6"/>
      <c r="AA770" s="19">
        <f t="shared" ref="AA770:AA776" si="493">SUM(Q770:Z770)</f>
        <v>425787</v>
      </c>
      <c r="AB770" s="19">
        <f t="shared" ref="AB770:AB776" si="494">$AA770*AB$7</f>
        <v>458837</v>
      </c>
      <c r="AC770" s="15">
        <f t="shared" ref="AC770:AC776" si="495">AB770/D770</f>
        <v>552815.66</v>
      </c>
      <c r="AD770" s="15">
        <f t="shared" ref="AD770:AD776" si="496">AC770*D770</f>
        <v>458837</v>
      </c>
      <c r="AE770" s="25"/>
      <c r="AF770" s="157">
        <f t="shared" si="480"/>
        <v>0</v>
      </c>
    </row>
    <row r="771" spans="1:32" s="4" customFormat="1" x14ac:dyDescent="0.25">
      <c r="A771" s="64" t="s">
        <v>1100</v>
      </c>
      <c r="B771" s="172" t="s">
        <v>879</v>
      </c>
      <c r="C771" s="12" t="s">
        <v>67</v>
      </c>
      <c r="D771" s="89">
        <v>20</v>
      </c>
      <c r="E771" s="18"/>
      <c r="F771" s="215">
        <v>109321</v>
      </c>
      <c r="G771" s="215">
        <f t="shared" si="474"/>
        <v>6355</v>
      </c>
      <c r="H771" s="19">
        <f t="shared" si="475"/>
        <v>115676</v>
      </c>
      <c r="I771" s="15"/>
      <c r="J771" s="22"/>
      <c r="K771" s="15"/>
      <c r="L771" s="15"/>
      <c r="M771" s="22"/>
      <c r="N771" s="22"/>
      <c r="O771" s="22">
        <f t="shared" si="476"/>
        <v>1567410</v>
      </c>
      <c r="P771" s="19">
        <f t="shared" si="477"/>
        <v>64264</v>
      </c>
      <c r="Q771" s="19">
        <f t="shared" si="478"/>
        <v>1631674</v>
      </c>
      <c r="R771" s="6">
        <f t="shared" si="479"/>
        <v>17133</v>
      </c>
      <c r="S771" s="6"/>
      <c r="T771" s="6"/>
      <c r="U771" s="122">
        <f t="shared" si="490"/>
        <v>125422</v>
      </c>
      <c r="V771" s="122">
        <f t="shared" si="491"/>
        <v>1921</v>
      </c>
      <c r="W771" s="122">
        <f t="shared" si="492"/>
        <v>147286</v>
      </c>
      <c r="X771" s="6"/>
      <c r="Y771" s="6"/>
      <c r="Z771" s="6"/>
      <c r="AA771" s="19">
        <f t="shared" si="493"/>
        <v>1923436</v>
      </c>
      <c r="AB771" s="19">
        <f t="shared" si="494"/>
        <v>2072733</v>
      </c>
      <c r="AC771" s="15">
        <f t="shared" si="495"/>
        <v>103636.65</v>
      </c>
      <c r="AD771" s="15">
        <f t="shared" si="496"/>
        <v>2072733</v>
      </c>
      <c r="AE771" s="25"/>
      <c r="AF771" s="157">
        <f t="shared" si="480"/>
        <v>0</v>
      </c>
    </row>
    <row r="772" spans="1:32" s="4" customFormat="1" x14ac:dyDescent="0.25">
      <c r="A772" s="64" t="s">
        <v>1101</v>
      </c>
      <c r="B772" s="69" t="s">
        <v>880</v>
      </c>
      <c r="C772" s="12" t="s">
        <v>67</v>
      </c>
      <c r="D772" s="13">
        <v>10</v>
      </c>
      <c r="E772" s="18"/>
      <c r="F772" s="215">
        <v>1130997</v>
      </c>
      <c r="G772" s="215">
        <f t="shared" si="474"/>
        <v>65743</v>
      </c>
      <c r="H772" s="19">
        <f t="shared" si="475"/>
        <v>1196740</v>
      </c>
      <c r="I772" s="15"/>
      <c r="J772" s="22"/>
      <c r="K772" s="15"/>
      <c r="L772" s="15"/>
      <c r="M772" s="22"/>
      <c r="N772" s="22"/>
      <c r="O772" s="22">
        <f t="shared" si="476"/>
        <v>16215827</v>
      </c>
      <c r="P772" s="19">
        <f t="shared" si="477"/>
        <v>664849</v>
      </c>
      <c r="Q772" s="19">
        <f t="shared" si="478"/>
        <v>16880676</v>
      </c>
      <c r="R772" s="6">
        <f t="shared" si="479"/>
        <v>177247</v>
      </c>
      <c r="S772" s="6"/>
      <c r="T772" s="6"/>
      <c r="U772" s="122">
        <f t="shared" si="490"/>
        <v>1297568</v>
      </c>
      <c r="V772" s="122">
        <f t="shared" si="491"/>
        <v>19876</v>
      </c>
      <c r="W772" s="122">
        <f t="shared" si="492"/>
        <v>1523766</v>
      </c>
      <c r="X772" s="6"/>
      <c r="Y772" s="6"/>
      <c r="Z772" s="6"/>
      <c r="AA772" s="19">
        <f t="shared" si="493"/>
        <v>19899133</v>
      </c>
      <c r="AB772" s="19">
        <f t="shared" si="494"/>
        <v>21443704</v>
      </c>
      <c r="AC772" s="15">
        <f t="shared" si="495"/>
        <v>2144370.4</v>
      </c>
      <c r="AD772" s="15">
        <f t="shared" si="496"/>
        <v>21443704</v>
      </c>
      <c r="AE772" s="25"/>
      <c r="AF772" s="157">
        <f t="shared" si="480"/>
        <v>0</v>
      </c>
    </row>
    <row r="773" spans="1:32" s="4" customFormat="1" x14ac:dyDescent="0.25">
      <c r="A773" s="64" t="s">
        <v>1102</v>
      </c>
      <c r="B773" s="69" t="s">
        <v>881</v>
      </c>
      <c r="C773" s="12" t="s">
        <v>70</v>
      </c>
      <c r="D773" s="13">
        <v>95.1</v>
      </c>
      <c r="E773" s="18"/>
      <c r="F773" s="215">
        <v>626066</v>
      </c>
      <c r="G773" s="215">
        <f t="shared" si="474"/>
        <v>36392</v>
      </c>
      <c r="H773" s="19">
        <f t="shared" si="475"/>
        <v>662458</v>
      </c>
      <c r="I773" s="15"/>
      <c r="J773" s="22"/>
      <c r="K773" s="15"/>
      <c r="L773" s="15"/>
      <c r="M773" s="22"/>
      <c r="N773" s="22"/>
      <c r="O773" s="22">
        <f t="shared" si="476"/>
        <v>8976306</v>
      </c>
      <c r="P773" s="19">
        <f t="shared" si="477"/>
        <v>368029</v>
      </c>
      <c r="Q773" s="19">
        <f t="shared" si="478"/>
        <v>9344335</v>
      </c>
      <c r="R773" s="6">
        <f t="shared" si="479"/>
        <v>98116</v>
      </c>
      <c r="S773" s="6"/>
      <c r="T773" s="6"/>
      <c r="U773" s="122">
        <f t="shared" si="490"/>
        <v>718272</v>
      </c>
      <c r="V773" s="122">
        <f t="shared" si="491"/>
        <v>11002</v>
      </c>
      <c r="W773" s="122">
        <f t="shared" si="492"/>
        <v>843484</v>
      </c>
      <c r="X773" s="6"/>
      <c r="Y773" s="6"/>
      <c r="Z773" s="6"/>
      <c r="AA773" s="19">
        <f t="shared" si="493"/>
        <v>11015209</v>
      </c>
      <c r="AB773" s="19">
        <f t="shared" si="494"/>
        <v>11870210</v>
      </c>
      <c r="AC773" s="15">
        <f t="shared" si="495"/>
        <v>124818.19</v>
      </c>
      <c r="AD773" s="15">
        <f t="shared" si="496"/>
        <v>11870209.869999999</v>
      </c>
      <c r="AE773" s="25"/>
      <c r="AF773" s="157">
        <f t="shared" si="480"/>
        <v>-0.13</v>
      </c>
    </row>
    <row r="774" spans="1:32" s="4" customFormat="1" x14ac:dyDescent="0.25">
      <c r="A774" s="64" t="s">
        <v>1103</v>
      </c>
      <c r="B774" s="69" t="s">
        <v>882</v>
      </c>
      <c r="C774" s="12" t="s">
        <v>70</v>
      </c>
      <c r="D774" s="13">
        <v>3.6</v>
      </c>
      <c r="E774" s="18"/>
      <c r="F774" s="215">
        <v>26913</v>
      </c>
      <c r="G774" s="215">
        <f t="shared" si="474"/>
        <v>1564</v>
      </c>
      <c r="H774" s="19">
        <f t="shared" si="475"/>
        <v>28477</v>
      </c>
      <c r="I774" s="15"/>
      <c r="J774" s="22"/>
      <c r="K774" s="15"/>
      <c r="L774" s="15"/>
      <c r="M774" s="22"/>
      <c r="N774" s="22"/>
      <c r="O774" s="22">
        <f t="shared" si="476"/>
        <v>385863</v>
      </c>
      <c r="P774" s="19">
        <f t="shared" si="477"/>
        <v>15820</v>
      </c>
      <c r="Q774" s="19">
        <f t="shared" si="478"/>
        <v>401683</v>
      </c>
      <c r="R774" s="6">
        <f t="shared" si="479"/>
        <v>4218</v>
      </c>
      <c r="S774" s="6"/>
      <c r="T774" s="6"/>
      <c r="U774" s="122">
        <f t="shared" si="490"/>
        <v>30876</v>
      </c>
      <c r="V774" s="122">
        <f t="shared" si="491"/>
        <v>473</v>
      </c>
      <c r="W774" s="122">
        <f t="shared" si="492"/>
        <v>36259</v>
      </c>
      <c r="X774" s="6"/>
      <c r="Y774" s="6"/>
      <c r="Z774" s="6"/>
      <c r="AA774" s="19">
        <f t="shared" si="493"/>
        <v>473509</v>
      </c>
      <c r="AB774" s="19">
        <f t="shared" si="494"/>
        <v>510263</v>
      </c>
      <c r="AC774" s="15">
        <f t="shared" si="495"/>
        <v>141739.72</v>
      </c>
      <c r="AD774" s="15">
        <f t="shared" si="496"/>
        <v>510262.99</v>
      </c>
      <c r="AE774" s="25"/>
      <c r="AF774" s="157">
        <f t="shared" si="480"/>
        <v>-0.01</v>
      </c>
    </row>
    <row r="775" spans="1:32" s="4" customFormat="1" x14ac:dyDescent="0.25">
      <c r="A775" s="64" t="s">
        <v>1104</v>
      </c>
      <c r="B775" s="69" t="s">
        <v>883</v>
      </c>
      <c r="C775" s="12" t="s">
        <v>72</v>
      </c>
      <c r="D775" s="13">
        <v>70</v>
      </c>
      <c r="E775" s="18"/>
      <c r="F775" s="215">
        <v>1983</v>
      </c>
      <c r="G775" s="215">
        <f t="shared" si="474"/>
        <v>115</v>
      </c>
      <c r="H775" s="19">
        <f t="shared" si="475"/>
        <v>2098</v>
      </c>
      <c r="I775" s="15"/>
      <c r="J775" s="22"/>
      <c r="K775" s="15"/>
      <c r="L775" s="15"/>
      <c r="M775" s="22"/>
      <c r="N775" s="22"/>
      <c r="O775" s="22">
        <f t="shared" si="476"/>
        <v>28428</v>
      </c>
      <c r="P775" s="19">
        <f t="shared" si="477"/>
        <v>1166</v>
      </c>
      <c r="Q775" s="19">
        <f t="shared" si="478"/>
        <v>29594</v>
      </c>
      <c r="R775" s="6">
        <f t="shared" si="479"/>
        <v>311</v>
      </c>
      <c r="S775" s="6"/>
      <c r="T775" s="6"/>
      <c r="U775" s="122">
        <f t="shared" si="490"/>
        <v>2275</v>
      </c>
      <c r="V775" s="122">
        <f t="shared" si="491"/>
        <v>35</v>
      </c>
      <c r="W775" s="122">
        <f t="shared" si="492"/>
        <v>2671</v>
      </c>
      <c r="X775" s="6"/>
      <c r="Y775" s="6"/>
      <c r="Z775" s="6"/>
      <c r="AA775" s="19">
        <f t="shared" si="493"/>
        <v>34886</v>
      </c>
      <c r="AB775" s="19">
        <f t="shared" si="494"/>
        <v>37594</v>
      </c>
      <c r="AC775" s="15">
        <f t="shared" si="495"/>
        <v>537.05999999999995</v>
      </c>
      <c r="AD775" s="15">
        <f t="shared" si="496"/>
        <v>37594.199999999997</v>
      </c>
      <c r="AE775" s="25"/>
      <c r="AF775" s="157">
        <f t="shared" si="480"/>
        <v>0.2</v>
      </c>
    </row>
    <row r="776" spans="1:32" s="4" customFormat="1" ht="25.5" x14ac:dyDescent="0.25">
      <c r="A776" s="64" t="s">
        <v>1105</v>
      </c>
      <c r="B776" s="69" t="s">
        <v>884</v>
      </c>
      <c r="C776" s="12" t="s">
        <v>72</v>
      </c>
      <c r="D776" s="13">
        <v>1144</v>
      </c>
      <c r="E776" s="18"/>
      <c r="F776" s="215">
        <v>76146</v>
      </c>
      <c r="G776" s="215">
        <f t="shared" si="474"/>
        <v>4426</v>
      </c>
      <c r="H776" s="19">
        <f t="shared" si="475"/>
        <v>80572</v>
      </c>
      <c r="I776" s="15"/>
      <c r="J776" s="22"/>
      <c r="K776" s="15"/>
      <c r="L776" s="15"/>
      <c r="M776" s="22"/>
      <c r="N776" s="22"/>
      <c r="O776" s="22">
        <f t="shared" si="476"/>
        <v>1091751</v>
      </c>
      <c r="P776" s="19">
        <f t="shared" si="477"/>
        <v>44762</v>
      </c>
      <c r="Q776" s="19">
        <f t="shared" si="478"/>
        <v>1136513</v>
      </c>
      <c r="R776" s="6">
        <f t="shared" si="479"/>
        <v>11933</v>
      </c>
      <c r="S776" s="6"/>
      <c r="T776" s="6"/>
      <c r="U776" s="122">
        <f t="shared" si="490"/>
        <v>87360</v>
      </c>
      <c r="V776" s="122">
        <f t="shared" si="491"/>
        <v>1338</v>
      </c>
      <c r="W776" s="122">
        <f t="shared" si="492"/>
        <v>102590</v>
      </c>
      <c r="X776" s="6"/>
      <c r="Y776" s="6"/>
      <c r="Z776" s="6"/>
      <c r="AA776" s="19">
        <f t="shared" si="493"/>
        <v>1339734</v>
      </c>
      <c r="AB776" s="19">
        <f t="shared" si="494"/>
        <v>1443724</v>
      </c>
      <c r="AC776" s="15">
        <f t="shared" si="495"/>
        <v>1262</v>
      </c>
      <c r="AD776" s="15">
        <f t="shared" si="496"/>
        <v>1443728</v>
      </c>
      <c r="AE776" s="25"/>
      <c r="AF776" s="157">
        <f t="shared" si="480"/>
        <v>4</v>
      </c>
    </row>
    <row r="777" spans="1:32" s="4" customFormat="1" x14ac:dyDescent="0.25">
      <c r="A777" s="23" t="s">
        <v>1106</v>
      </c>
      <c r="B777" s="26" t="s">
        <v>885</v>
      </c>
      <c r="C777" s="21"/>
      <c r="D777" s="212"/>
      <c r="E777" s="213"/>
      <c r="F777" s="216"/>
      <c r="G777" s="215"/>
      <c r="H777" s="19"/>
      <c r="I777" s="32"/>
      <c r="J777" s="22"/>
      <c r="K777" s="15"/>
      <c r="L777" s="15"/>
      <c r="M777" s="31"/>
      <c r="N777" s="31"/>
      <c r="O777" s="22"/>
      <c r="P777" s="19"/>
      <c r="Q777" s="19"/>
      <c r="R777" s="6"/>
      <c r="S777" s="6"/>
      <c r="T777" s="6"/>
      <c r="U777" s="122"/>
      <c r="V777" s="122"/>
      <c r="W777" s="122"/>
      <c r="X777" s="6"/>
      <c r="Y777" s="6"/>
      <c r="Z777" s="6"/>
      <c r="AA777" s="19"/>
      <c r="AB777" s="19"/>
      <c r="AC777" s="15"/>
      <c r="AD777" s="15"/>
      <c r="AE777" s="25"/>
      <c r="AF777" s="157">
        <f t="shared" si="480"/>
        <v>0</v>
      </c>
    </row>
    <row r="778" spans="1:32" s="4" customFormat="1" x14ac:dyDescent="0.25">
      <c r="A778" s="64" t="s">
        <v>1107</v>
      </c>
      <c r="B778" s="69" t="s">
        <v>886</v>
      </c>
      <c r="C778" s="12" t="s">
        <v>72</v>
      </c>
      <c r="D778" s="13">
        <v>345.8</v>
      </c>
      <c r="E778" s="18"/>
      <c r="F778" s="215">
        <v>50764</v>
      </c>
      <c r="G778" s="215">
        <f t="shared" si="474"/>
        <v>2951</v>
      </c>
      <c r="H778" s="19">
        <f t="shared" si="475"/>
        <v>53715</v>
      </c>
      <c r="I778" s="15"/>
      <c r="J778" s="22"/>
      <c r="K778" s="15"/>
      <c r="L778" s="15"/>
      <c r="M778" s="22"/>
      <c r="N778" s="22"/>
      <c r="O778" s="22">
        <f t="shared" si="476"/>
        <v>727838</v>
      </c>
      <c r="P778" s="19">
        <f t="shared" si="477"/>
        <v>29841</v>
      </c>
      <c r="Q778" s="19">
        <f t="shared" si="478"/>
        <v>757679</v>
      </c>
      <c r="R778" s="6">
        <f t="shared" si="479"/>
        <v>7956</v>
      </c>
      <c r="S778" s="6"/>
      <c r="T778" s="6"/>
      <c r="U778" s="122">
        <f t="shared" ref="U778:U784" si="497">Q778*$U$6</f>
        <v>58241</v>
      </c>
      <c r="V778" s="122">
        <f t="shared" ref="V778:V784" si="498">Q778*$V$6</f>
        <v>892</v>
      </c>
      <c r="W778" s="122">
        <f t="shared" ref="W778:W784" si="499">Q778*$W$6</f>
        <v>68393</v>
      </c>
      <c r="X778" s="6"/>
      <c r="Y778" s="6"/>
      <c r="Z778" s="6"/>
      <c r="AA778" s="19">
        <f t="shared" ref="AA778:AA784" si="500">SUM(Q778:Z778)</f>
        <v>893161</v>
      </c>
      <c r="AB778" s="19">
        <f t="shared" ref="AB778:AB784" si="501">$AA778*AB$7</f>
        <v>962488</v>
      </c>
      <c r="AC778" s="15">
        <f t="shared" ref="AC778:AC784" si="502">AB778/D778</f>
        <v>2783.37</v>
      </c>
      <c r="AD778" s="15">
        <f t="shared" ref="AD778:AD784" si="503">AC778*D778</f>
        <v>962489.35</v>
      </c>
      <c r="AE778" s="25"/>
      <c r="AF778" s="157">
        <f t="shared" si="480"/>
        <v>1.35</v>
      </c>
    </row>
    <row r="779" spans="1:32" s="4" customFormat="1" x14ac:dyDescent="0.25">
      <c r="A779" s="64" t="s">
        <v>1108</v>
      </c>
      <c r="B779" s="69" t="s">
        <v>887</v>
      </c>
      <c r="C779" s="12" t="s">
        <v>888</v>
      </c>
      <c r="D779" s="13">
        <v>86.9</v>
      </c>
      <c r="E779" s="18"/>
      <c r="F779" s="215">
        <v>8329</v>
      </c>
      <c r="G779" s="215">
        <f t="shared" si="474"/>
        <v>484</v>
      </c>
      <c r="H779" s="19">
        <f t="shared" si="475"/>
        <v>8813</v>
      </c>
      <c r="I779" s="15"/>
      <c r="J779" s="22"/>
      <c r="K779" s="15"/>
      <c r="L779" s="15"/>
      <c r="M779" s="22"/>
      <c r="N779" s="22"/>
      <c r="O779" s="22">
        <f t="shared" si="476"/>
        <v>119416</v>
      </c>
      <c r="P779" s="19">
        <f t="shared" si="477"/>
        <v>4896</v>
      </c>
      <c r="Q779" s="19">
        <f t="shared" si="478"/>
        <v>124312</v>
      </c>
      <c r="R779" s="6">
        <f t="shared" si="479"/>
        <v>1305</v>
      </c>
      <c r="S779" s="6"/>
      <c r="T779" s="6"/>
      <c r="U779" s="122">
        <f t="shared" si="497"/>
        <v>9555</v>
      </c>
      <c r="V779" s="122">
        <f t="shared" si="498"/>
        <v>146</v>
      </c>
      <c r="W779" s="122">
        <f t="shared" si="499"/>
        <v>11221</v>
      </c>
      <c r="X779" s="6"/>
      <c r="Y779" s="6"/>
      <c r="Z779" s="6"/>
      <c r="AA779" s="19">
        <f t="shared" si="500"/>
        <v>146539</v>
      </c>
      <c r="AB779" s="19">
        <f t="shared" si="501"/>
        <v>157913</v>
      </c>
      <c r="AC779" s="15">
        <f t="shared" si="502"/>
        <v>1817.18</v>
      </c>
      <c r="AD779" s="15">
        <f t="shared" si="503"/>
        <v>157912.94</v>
      </c>
      <c r="AE779" s="25"/>
      <c r="AF779" s="157">
        <f t="shared" si="480"/>
        <v>-0.06</v>
      </c>
    </row>
    <row r="780" spans="1:32" s="4" customFormat="1" x14ac:dyDescent="0.25">
      <c r="A780" s="64" t="s">
        <v>1109</v>
      </c>
      <c r="B780" s="69" t="s">
        <v>889</v>
      </c>
      <c r="C780" s="12" t="s">
        <v>890</v>
      </c>
      <c r="D780" s="13">
        <v>115.93</v>
      </c>
      <c r="E780" s="18"/>
      <c r="F780" s="215">
        <v>172430</v>
      </c>
      <c r="G780" s="215">
        <f t="shared" si="474"/>
        <v>10023</v>
      </c>
      <c r="H780" s="19">
        <f t="shared" si="475"/>
        <v>182453</v>
      </c>
      <c r="I780" s="15"/>
      <c r="J780" s="22"/>
      <c r="K780" s="15"/>
      <c r="L780" s="15"/>
      <c r="M780" s="22"/>
      <c r="N780" s="22"/>
      <c r="O780" s="22">
        <f t="shared" si="476"/>
        <v>2472238</v>
      </c>
      <c r="P780" s="19">
        <f t="shared" si="477"/>
        <v>101362</v>
      </c>
      <c r="Q780" s="19">
        <f t="shared" si="478"/>
        <v>2573600</v>
      </c>
      <c r="R780" s="6">
        <f t="shared" si="479"/>
        <v>27023</v>
      </c>
      <c r="S780" s="6"/>
      <c r="T780" s="6"/>
      <c r="U780" s="122">
        <f t="shared" si="497"/>
        <v>197825</v>
      </c>
      <c r="V780" s="122">
        <f t="shared" si="498"/>
        <v>3030</v>
      </c>
      <c r="W780" s="122">
        <f t="shared" si="499"/>
        <v>232311</v>
      </c>
      <c r="X780" s="6"/>
      <c r="Y780" s="6"/>
      <c r="Z780" s="6"/>
      <c r="AA780" s="19">
        <f t="shared" si="500"/>
        <v>3033789</v>
      </c>
      <c r="AB780" s="19">
        <f t="shared" si="501"/>
        <v>3269272</v>
      </c>
      <c r="AC780" s="15">
        <f t="shared" si="502"/>
        <v>28200.400000000001</v>
      </c>
      <c r="AD780" s="15">
        <f t="shared" si="503"/>
        <v>3269272.37</v>
      </c>
      <c r="AE780" s="25"/>
      <c r="AF780" s="157">
        <f t="shared" si="480"/>
        <v>0.37</v>
      </c>
    </row>
    <row r="781" spans="1:32" s="4" customFormat="1" x14ac:dyDescent="0.25">
      <c r="A781" s="64" t="s">
        <v>1110</v>
      </c>
      <c r="B781" s="69" t="s">
        <v>1026</v>
      </c>
      <c r="C781" s="12" t="s">
        <v>72</v>
      </c>
      <c r="D781" s="13">
        <v>16</v>
      </c>
      <c r="E781" s="18"/>
      <c r="F781" s="215">
        <v>3045</v>
      </c>
      <c r="G781" s="215">
        <f t="shared" si="474"/>
        <v>177</v>
      </c>
      <c r="H781" s="19">
        <f t="shared" si="475"/>
        <v>3222</v>
      </c>
      <c r="I781" s="15"/>
      <c r="J781" s="22"/>
      <c r="K781" s="15"/>
      <c r="L781" s="15"/>
      <c r="M781" s="22"/>
      <c r="N781" s="22"/>
      <c r="O781" s="22">
        <f t="shared" si="476"/>
        <v>43658</v>
      </c>
      <c r="P781" s="19">
        <f t="shared" si="477"/>
        <v>1790</v>
      </c>
      <c r="Q781" s="19">
        <f t="shared" si="478"/>
        <v>45448</v>
      </c>
      <c r="R781" s="6">
        <f t="shared" si="479"/>
        <v>477</v>
      </c>
      <c r="S781" s="6"/>
      <c r="T781" s="6"/>
      <c r="U781" s="122">
        <f t="shared" si="497"/>
        <v>3493</v>
      </c>
      <c r="V781" s="122">
        <f t="shared" si="498"/>
        <v>54</v>
      </c>
      <c r="W781" s="122">
        <f t="shared" si="499"/>
        <v>4102</v>
      </c>
      <c r="X781" s="6"/>
      <c r="Y781" s="6"/>
      <c r="Z781" s="6"/>
      <c r="AA781" s="19">
        <f t="shared" si="500"/>
        <v>53574</v>
      </c>
      <c r="AB781" s="19">
        <f t="shared" si="501"/>
        <v>57732</v>
      </c>
      <c r="AC781" s="15">
        <f t="shared" si="502"/>
        <v>3608.25</v>
      </c>
      <c r="AD781" s="15">
        <f t="shared" si="503"/>
        <v>57732</v>
      </c>
      <c r="AE781" s="25"/>
      <c r="AF781" s="157">
        <f t="shared" si="480"/>
        <v>0</v>
      </c>
    </row>
    <row r="782" spans="1:32" s="4" customFormat="1" x14ac:dyDescent="0.25">
      <c r="A782" s="64" t="s">
        <v>1111</v>
      </c>
      <c r="B782" s="69" t="s">
        <v>892</v>
      </c>
      <c r="C782" s="12" t="s">
        <v>890</v>
      </c>
      <c r="D782" s="13">
        <v>19.079999999999998</v>
      </c>
      <c r="E782" s="18"/>
      <c r="F782" s="215">
        <v>102129</v>
      </c>
      <c r="G782" s="215">
        <f t="shared" si="474"/>
        <v>5937</v>
      </c>
      <c r="H782" s="19">
        <f t="shared" si="475"/>
        <v>108066</v>
      </c>
      <c r="I782" s="15"/>
      <c r="J782" s="22"/>
      <c r="K782" s="15"/>
      <c r="L782" s="15"/>
      <c r="M782" s="22"/>
      <c r="N782" s="22"/>
      <c r="O782" s="22">
        <f t="shared" si="476"/>
        <v>1464294</v>
      </c>
      <c r="P782" s="19">
        <f t="shared" si="477"/>
        <v>60036</v>
      </c>
      <c r="Q782" s="19">
        <f t="shared" si="478"/>
        <v>1524330</v>
      </c>
      <c r="R782" s="6">
        <f t="shared" si="479"/>
        <v>16005</v>
      </c>
      <c r="S782" s="6"/>
      <c r="T782" s="6"/>
      <c r="U782" s="122">
        <f t="shared" si="497"/>
        <v>117171</v>
      </c>
      <c r="V782" s="122">
        <f t="shared" si="498"/>
        <v>1795</v>
      </c>
      <c r="W782" s="122">
        <f t="shared" si="499"/>
        <v>137597</v>
      </c>
      <c r="X782" s="6"/>
      <c r="Y782" s="6"/>
      <c r="Z782" s="6"/>
      <c r="AA782" s="19">
        <f t="shared" si="500"/>
        <v>1796898</v>
      </c>
      <c r="AB782" s="19">
        <f t="shared" si="501"/>
        <v>1936373</v>
      </c>
      <c r="AC782" s="15">
        <f t="shared" si="502"/>
        <v>101487.05</v>
      </c>
      <c r="AD782" s="15">
        <f t="shared" si="503"/>
        <v>1936372.91</v>
      </c>
      <c r="AE782" s="25"/>
      <c r="AF782" s="157">
        <f t="shared" si="480"/>
        <v>-0.09</v>
      </c>
    </row>
    <row r="783" spans="1:32" s="4" customFormat="1" x14ac:dyDescent="0.25">
      <c r="A783" s="64" t="s">
        <v>1112</v>
      </c>
      <c r="B783" s="69" t="s">
        <v>893</v>
      </c>
      <c r="C783" s="12" t="s">
        <v>72</v>
      </c>
      <c r="D783" s="13">
        <v>338.2</v>
      </c>
      <c r="E783" s="18"/>
      <c r="F783" s="215">
        <v>40523</v>
      </c>
      <c r="G783" s="215">
        <f t="shared" si="474"/>
        <v>2356</v>
      </c>
      <c r="H783" s="19">
        <f t="shared" si="475"/>
        <v>42879</v>
      </c>
      <c r="I783" s="15"/>
      <c r="J783" s="22"/>
      <c r="K783" s="15"/>
      <c r="L783" s="15"/>
      <c r="M783" s="22"/>
      <c r="N783" s="22"/>
      <c r="O783" s="22">
        <f t="shared" si="476"/>
        <v>581010</v>
      </c>
      <c r="P783" s="19">
        <f t="shared" si="477"/>
        <v>23821</v>
      </c>
      <c r="Q783" s="19">
        <f t="shared" si="478"/>
        <v>604831</v>
      </c>
      <c r="R783" s="6">
        <f t="shared" si="479"/>
        <v>6351</v>
      </c>
      <c r="S783" s="6"/>
      <c r="T783" s="6"/>
      <c r="U783" s="122">
        <f t="shared" si="497"/>
        <v>46492</v>
      </c>
      <c r="V783" s="122">
        <f t="shared" si="498"/>
        <v>712</v>
      </c>
      <c r="W783" s="122">
        <f t="shared" si="499"/>
        <v>54596</v>
      </c>
      <c r="X783" s="6"/>
      <c r="Y783" s="6"/>
      <c r="Z783" s="6"/>
      <c r="AA783" s="19">
        <f t="shared" si="500"/>
        <v>712982</v>
      </c>
      <c r="AB783" s="19">
        <f t="shared" si="501"/>
        <v>768324</v>
      </c>
      <c r="AC783" s="15">
        <f t="shared" si="502"/>
        <v>2271.8000000000002</v>
      </c>
      <c r="AD783" s="15">
        <f t="shared" si="503"/>
        <v>768322.76</v>
      </c>
      <c r="AE783" s="25"/>
      <c r="AF783" s="157">
        <f t="shared" si="480"/>
        <v>-1.24</v>
      </c>
    </row>
    <row r="784" spans="1:32" s="4" customFormat="1" x14ac:dyDescent="0.25">
      <c r="A784" s="64" t="s">
        <v>1113</v>
      </c>
      <c r="B784" s="69" t="s">
        <v>894</v>
      </c>
      <c r="C784" s="12" t="s">
        <v>72</v>
      </c>
      <c r="D784" s="13">
        <v>338.2</v>
      </c>
      <c r="E784" s="18"/>
      <c r="F784" s="215">
        <v>36639</v>
      </c>
      <c r="G784" s="215">
        <f t="shared" si="474"/>
        <v>2130</v>
      </c>
      <c r="H784" s="19">
        <f t="shared" si="475"/>
        <v>38769</v>
      </c>
      <c r="I784" s="15"/>
      <c r="J784" s="22"/>
      <c r="K784" s="15"/>
      <c r="L784" s="15"/>
      <c r="M784" s="22"/>
      <c r="N784" s="22"/>
      <c r="O784" s="22">
        <f t="shared" si="476"/>
        <v>525320</v>
      </c>
      <c r="P784" s="19">
        <f t="shared" si="477"/>
        <v>21538</v>
      </c>
      <c r="Q784" s="19">
        <f t="shared" si="478"/>
        <v>546858</v>
      </c>
      <c r="R784" s="6">
        <f t="shared" si="479"/>
        <v>5742</v>
      </c>
      <c r="S784" s="6"/>
      <c r="T784" s="6"/>
      <c r="U784" s="122">
        <f t="shared" si="497"/>
        <v>42035</v>
      </c>
      <c r="V784" s="122">
        <f t="shared" si="498"/>
        <v>644</v>
      </c>
      <c r="W784" s="122">
        <f t="shared" si="499"/>
        <v>49363</v>
      </c>
      <c r="X784" s="6"/>
      <c r="Y784" s="6"/>
      <c r="Z784" s="6"/>
      <c r="AA784" s="19">
        <f t="shared" si="500"/>
        <v>644642</v>
      </c>
      <c r="AB784" s="19">
        <f t="shared" si="501"/>
        <v>694679</v>
      </c>
      <c r="AC784" s="15">
        <f t="shared" si="502"/>
        <v>2054.0500000000002</v>
      </c>
      <c r="AD784" s="15">
        <f t="shared" si="503"/>
        <v>694679.71</v>
      </c>
      <c r="AE784" s="25"/>
      <c r="AF784" s="157">
        <f t="shared" si="480"/>
        <v>0.71</v>
      </c>
    </row>
    <row r="785" spans="1:32" s="4" customFormat="1" x14ac:dyDescent="0.25">
      <c r="A785" s="23" t="s">
        <v>1114</v>
      </c>
      <c r="B785" s="26" t="s">
        <v>1281</v>
      </c>
      <c r="C785" s="21"/>
      <c r="D785" s="212"/>
      <c r="E785" s="213"/>
      <c r="F785" s="216"/>
      <c r="G785" s="215"/>
      <c r="H785" s="19"/>
      <c r="I785" s="32"/>
      <c r="J785" s="22"/>
      <c r="K785" s="15"/>
      <c r="L785" s="15"/>
      <c r="M785" s="31"/>
      <c r="N785" s="31"/>
      <c r="O785" s="22"/>
      <c r="P785" s="19"/>
      <c r="Q785" s="19"/>
      <c r="R785" s="6"/>
      <c r="S785" s="6"/>
      <c r="T785" s="6"/>
      <c r="U785" s="122"/>
      <c r="V785" s="122"/>
      <c r="W785" s="122"/>
      <c r="X785" s="6"/>
      <c r="Y785" s="6"/>
      <c r="Z785" s="6"/>
      <c r="AA785" s="19"/>
      <c r="AB785" s="19"/>
      <c r="AC785" s="15"/>
      <c r="AD785" s="15"/>
      <c r="AE785" s="25"/>
      <c r="AF785" s="157">
        <f t="shared" si="480"/>
        <v>0</v>
      </c>
    </row>
    <row r="786" spans="1:32" s="4" customFormat="1" x14ac:dyDescent="0.25">
      <c r="A786" s="64" t="s">
        <v>1115</v>
      </c>
      <c r="B786" s="69" t="s">
        <v>1287</v>
      </c>
      <c r="C786" s="12" t="s">
        <v>70</v>
      </c>
      <c r="D786" s="13">
        <f>574+2294</f>
        <v>2868</v>
      </c>
      <c r="E786" s="18"/>
      <c r="F786" s="215">
        <v>1746270</v>
      </c>
      <c r="G786" s="215">
        <f t="shared" si="474"/>
        <v>101509</v>
      </c>
      <c r="H786" s="19">
        <f t="shared" si="475"/>
        <v>1847779</v>
      </c>
      <c r="I786" s="15"/>
      <c r="J786" s="22"/>
      <c r="K786" s="15"/>
      <c r="L786" s="15"/>
      <c r="M786" s="22"/>
      <c r="N786" s="22"/>
      <c r="O786" s="22">
        <f t="shared" si="476"/>
        <v>25037405</v>
      </c>
      <c r="P786" s="19">
        <f t="shared" si="477"/>
        <v>1026534</v>
      </c>
      <c r="Q786" s="19">
        <f t="shared" si="478"/>
        <v>26063939</v>
      </c>
      <c r="R786" s="6">
        <f t="shared" si="479"/>
        <v>273671</v>
      </c>
      <c r="S786" s="6"/>
      <c r="T786" s="6"/>
      <c r="U786" s="122">
        <f t="shared" ref="U786:U796" si="504">Q786*$U$6</f>
        <v>2003458</v>
      </c>
      <c r="V786" s="122">
        <f t="shared" ref="V786:V796" si="505">Q786*$V$6</f>
        <v>30689</v>
      </c>
      <c r="W786" s="122">
        <f t="shared" ref="W786:W796" si="506">Q786*$W$6</f>
        <v>2352711</v>
      </c>
      <c r="X786" s="6"/>
      <c r="Y786" s="6"/>
      <c r="Z786" s="6"/>
      <c r="AA786" s="19">
        <f t="shared" ref="AA786:AA796" si="507">SUM(Q786:Z786)</f>
        <v>30724468</v>
      </c>
      <c r="AB786" s="19">
        <f t="shared" ref="AB786:AB796" si="508">$AA786*AB$7</f>
        <v>33109301</v>
      </c>
      <c r="AC786" s="15">
        <f t="shared" ref="AC786:AC796" si="509">AB786/D786</f>
        <v>11544.39</v>
      </c>
      <c r="AD786" s="15">
        <f t="shared" ref="AD786:AD796" si="510">AC786*D786</f>
        <v>33109310.52</v>
      </c>
      <c r="AE786" s="25"/>
      <c r="AF786" s="157">
        <f t="shared" si="480"/>
        <v>9.52</v>
      </c>
    </row>
    <row r="787" spans="1:32" s="4" customFormat="1" x14ac:dyDescent="0.25">
      <c r="A787" s="64" t="s">
        <v>1116</v>
      </c>
      <c r="B787" s="69" t="s">
        <v>1288</v>
      </c>
      <c r="C787" s="12" t="s">
        <v>890</v>
      </c>
      <c r="D787" s="13">
        <v>80</v>
      </c>
      <c r="E787" s="18"/>
      <c r="F787" s="215">
        <v>10650</v>
      </c>
      <c r="G787" s="215">
        <f t="shared" si="474"/>
        <v>619</v>
      </c>
      <c r="H787" s="19">
        <f t="shared" si="475"/>
        <v>11269</v>
      </c>
      <c r="I787" s="15"/>
      <c r="J787" s="22"/>
      <c r="K787" s="15"/>
      <c r="L787" s="15"/>
      <c r="M787" s="22"/>
      <c r="N787" s="22"/>
      <c r="O787" s="22">
        <f t="shared" si="476"/>
        <v>152695</v>
      </c>
      <c r="P787" s="19">
        <f t="shared" si="477"/>
        <v>6260</v>
      </c>
      <c r="Q787" s="19">
        <f t="shared" si="478"/>
        <v>158955</v>
      </c>
      <c r="R787" s="6">
        <f t="shared" si="479"/>
        <v>1669</v>
      </c>
      <c r="S787" s="6"/>
      <c r="T787" s="6"/>
      <c r="U787" s="122">
        <f t="shared" si="504"/>
        <v>12218</v>
      </c>
      <c r="V787" s="122">
        <f t="shared" si="505"/>
        <v>187</v>
      </c>
      <c r="W787" s="122">
        <f t="shared" si="506"/>
        <v>14348</v>
      </c>
      <c r="X787" s="6"/>
      <c r="Y787" s="6"/>
      <c r="Z787" s="6"/>
      <c r="AA787" s="19">
        <f t="shared" si="507"/>
        <v>187377</v>
      </c>
      <c r="AB787" s="19">
        <f t="shared" si="508"/>
        <v>201921</v>
      </c>
      <c r="AC787" s="15">
        <f t="shared" si="509"/>
        <v>2524.0100000000002</v>
      </c>
      <c r="AD787" s="15">
        <f t="shared" si="510"/>
        <v>201920.8</v>
      </c>
      <c r="AE787" s="25"/>
      <c r="AF787" s="157">
        <f t="shared" si="480"/>
        <v>-0.2</v>
      </c>
    </row>
    <row r="788" spans="1:32" s="4" customFormat="1" x14ac:dyDescent="0.25">
      <c r="A788" s="64" t="s">
        <v>1117</v>
      </c>
      <c r="B788" s="69" t="s">
        <v>900</v>
      </c>
      <c r="C788" s="12" t="s">
        <v>70</v>
      </c>
      <c r="D788" s="13">
        <v>13.2</v>
      </c>
      <c r="E788" s="18"/>
      <c r="F788" s="215">
        <v>4972</v>
      </c>
      <c r="G788" s="215">
        <f t="shared" si="474"/>
        <v>289</v>
      </c>
      <c r="H788" s="19">
        <f t="shared" si="475"/>
        <v>5261</v>
      </c>
      <c r="I788" s="15"/>
      <c r="J788" s="22"/>
      <c r="K788" s="15"/>
      <c r="L788" s="15"/>
      <c r="M788" s="22"/>
      <c r="N788" s="22"/>
      <c r="O788" s="22">
        <f t="shared" si="476"/>
        <v>71287</v>
      </c>
      <c r="P788" s="19">
        <f t="shared" si="477"/>
        <v>2923</v>
      </c>
      <c r="Q788" s="19">
        <f t="shared" si="478"/>
        <v>74210</v>
      </c>
      <c r="R788" s="6">
        <f t="shared" si="479"/>
        <v>779</v>
      </c>
      <c r="S788" s="6"/>
      <c r="T788" s="6"/>
      <c r="U788" s="122">
        <f t="shared" si="504"/>
        <v>5704</v>
      </c>
      <c r="V788" s="122">
        <f t="shared" si="505"/>
        <v>87</v>
      </c>
      <c r="W788" s="122">
        <f t="shared" si="506"/>
        <v>6699</v>
      </c>
      <c r="X788" s="6"/>
      <c r="Y788" s="6"/>
      <c r="Z788" s="6"/>
      <c r="AA788" s="19">
        <f t="shared" si="507"/>
        <v>87479</v>
      </c>
      <c r="AB788" s="19">
        <f t="shared" si="508"/>
        <v>94269</v>
      </c>
      <c r="AC788" s="15">
        <f t="shared" si="509"/>
        <v>7141.59</v>
      </c>
      <c r="AD788" s="15">
        <f t="shared" si="510"/>
        <v>94268.99</v>
      </c>
      <c r="AE788" s="25"/>
      <c r="AF788" s="157">
        <f t="shared" si="480"/>
        <v>-0.01</v>
      </c>
    </row>
    <row r="789" spans="1:32" s="4" customFormat="1" x14ac:dyDescent="0.25">
      <c r="A789" s="64" t="s">
        <v>1118</v>
      </c>
      <c r="B789" s="69" t="s">
        <v>901</v>
      </c>
      <c r="C789" s="12" t="s">
        <v>70</v>
      </c>
      <c r="D789" s="13">
        <v>18</v>
      </c>
      <c r="E789" s="18"/>
      <c r="F789" s="215">
        <v>5809</v>
      </c>
      <c r="G789" s="215">
        <f t="shared" si="474"/>
        <v>338</v>
      </c>
      <c r="H789" s="19">
        <f t="shared" si="475"/>
        <v>6147</v>
      </c>
      <c r="I789" s="15"/>
      <c r="J789" s="22"/>
      <c r="K789" s="15"/>
      <c r="L789" s="15"/>
      <c r="M789" s="22"/>
      <c r="N789" s="22"/>
      <c r="O789" s="22">
        <f t="shared" si="476"/>
        <v>83292</v>
      </c>
      <c r="P789" s="19">
        <f t="shared" si="477"/>
        <v>3415</v>
      </c>
      <c r="Q789" s="19">
        <f t="shared" si="478"/>
        <v>86707</v>
      </c>
      <c r="R789" s="6">
        <f t="shared" si="479"/>
        <v>910</v>
      </c>
      <c r="S789" s="6"/>
      <c r="T789" s="6"/>
      <c r="U789" s="122">
        <f t="shared" si="504"/>
        <v>6665</v>
      </c>
      <c r="V789" s="122">
        <f t="shared" si="505"/>
        <v>102</v>
      </c>
      <c r="W789" s="122">
        <f t="shared" si="506"/>
        <v>7827</v>
      </c>
      <c r="X789" s="6"/>
      <c r="Y789" s="6"/>
      <c r="Z789" s="6"/>
      <c r="AA789" s="19">
        <f t="shared" si="507"/>
        <v>102211</v>
      </c>
      <c r="AB789" s="19">
        <f t="shared" si="508"/>
        <v>110145</v>
      </c>
      <c r="AC789" s="15">
        <f t="shared" si="509"/>
        <v>6119.17</v>
      </c>
      <c r="AD789" s="15">
        <f t="shared" si="510"/>
        <v>110145.06</v>
      </c>
      <c r="AE789" s="25"/>
      <c r="AF789" s="157">
        <f t="shared" si="480"/>
        <v>0.06</v>
      </c>
    </row>
    <row r="790" spans="1:32" s="4" customFormat="1" x14ac:dyDescent="0.25">
      <c r="A790" s="64" t="s">
        <v>1119</v>
      </c>
      <c r="B790" s="69" t="s">
        <v>1289</v>
      </c>
      <c r="C790" s="12" t="s">
        <v>70</v>
      </c>
      <c r="D790" s="13">
        <v>6.1</v>
      </c>
      <c r="E790" s="18"/>
      <c r="F790" s="215">
        <v>12351</v>
      </c>
      <c r="G790" s="215">
        <f t="shared" si="474"/>
        <v>718</v>
      </c>
      <c r="H790" s="19">
        <f t="shared" si="475"/>
        <v>13069</v>
      </c>
      <c r="I790" s="15"/>
      <c r="J790" s="22"/>
      <c r="K790" s="15"/>
      <c r="L790" s="15"/>
      <c r="M790" s="22"/>
      <c r="N790" s="22"/>
      <c r="O790" s="22">
        <f t="shared" si="476"/>
        <v>177085</v>
      </c>
      <c r="P790" s="19">
        <f t="shared" si="477"/>
        <v>7260</v>
      </c>
      <c r="Q790" s="19">
        <f t="shared" si="478"/>
        <v>184345</v>
      </c>
      <c r="R790" s="6">
        <f t="shared" si="479"/>
        <v>1936</v>
      </c>
      <c r="S790" s="6"/>
      <c r="T790" s="6"/>
      <c r="U790" s="122">
        <f t="shared" si="504"/>
        <v>14170</v>
      </c>
      <c r="V790" s="122">
        <f t="shared" si="505"/>
        <v>217</v>
      </c>
      <c r="W790" s="122">
        <f t="shared" si="506"/>
        <v>16640</v>
      </c>
      <c r="X790" s="6"/>
      <c r="Y790" s="6"/>
      <c r="Z790" s="6"/>
      <c r="AA790" s="19">
        <f t="shared" si="507"/>
        <v>217308</v>
      </c>
      <c r="AB790" s="19">
        <f t="shared" si="508"/>
        <v>234175</v>
      </c>
      <c r="AC790" s="15">
        <f t="shared" si="509"/>
        <v>38389.339999999997</v>
      </c>
      <c r="AD790" s="15">
        <f t="shared" si="510"/>
        <v>234174.97</v>
      </c>
      <c r="AE790" s="25"/>
      <c r="AF790" s="157">
        <f t="shared" ref="AF790:AF794" si="511">AD790-AB790</f>
        <v>-0.03</v>
      </c>
    </row>
    <row r="791" spans="1:32" s="4" customFormat="1" x14ac:dyDescent="0.25">
      <c r="A791" s="64" t="s">
        <v>1120</v>
      </c>
      <c r="B791" s="69" t="s">
        <v>1290</v>
      </c>
      <c r="C791" s="12" t="s">
        <v>70</v>
      </c>
      <c r="D791" s="13">
        <v>69.2</v>
      </c>
      <c r="E791" s="18"/>
      <c r="F791" s="215">
        <v>190073</v>
      </c>
      <c r="G791" s="215">
        <f t="shared" si="474"/>
        <v>11049</v>
      </c>
      <c r="H791" s="19">
        <f t="shared" si="475"/>
        <v>201122</v>
      </c>
      <c r="I791" s="15"/>
      <c r="J791" s="22"/>
      <c r="K791" s="15"/>
      <c r="L791" s="15"/>
      <c r="M791" s="22"/>
      <c r="N791" s="22"/>
      <c r="O791" s="22">
        <f t="shared" si="476"/>
        <v>2725203</v>
      </c>
      <c r="P791" s="19">
        <f t="shared" si="477"/>
        <v>111733</v>
      </c>
      <c r="Q791" s="19">
        <f t="shared" si="478"/>
        <v>2836936</v>
      </c>
      <c r="R791" s="6">
        <f t="shared" si="479"/>
        <v>29788</v>
      </c>
      <c r="S791" s="6"/>
      <c r="T791" s="6"/>
      <c r="U791" s="122">
        <f t="shared" si="504"/>
        <v>218067</v>
      </c>
      <c r="V791" s="122">
        <f t="shared" si="505"/>
        <v>3340</v>
      </c>
      <c r="W791" s="122">
        <f t="shared" si="506"/>
        <v>256081</v>
      </c>
      <c r="X791" s="6"/>
      <c r="Y791" s="6"/>
      <c r="Z791" s="6"/>
      <c r="AA791" s="19">
        <f t="shared" si="507"/>
        <v>3344212</v>
      </c>
      <c r="AB791" s="19">
        <f t="shared" si="508"/>
        <v>3603790</v>
      </c>
      <c r="AC791" s="15">
        <f t="shared" si="509"/>
        <v>52077.89</v>
      </c>
      <c r="AD791" s="15">
        <f t="shared" si="510"/>
        <v>3603789.99</v>
      </c>
      <c r="AE791" s="25"/>
      <c r="AF791" s="157">
        <f t="shared" si="511"/>
        <v>-0.01</v>
      </c>
    </row>
    <row r="792" spans="1:32" s="4" customFormat="1" x14ac:dyDescent="0.25">
      <c r="A792" s="64" t="s">
        <v>1121</v>
      </c>
      <c r="B792" s="69" t="s">
        <v>872</v>
      </c>
      <c r="C792" s="12" t="s">
        <v>72</v>
      </c>
      <c r="D792" s="13">
        <v>46.2</v>
      </c>
      <c r="E792" s="18"/>
      <c r="F792" s="215">
        <v>3999</v>
      </c>
      <c r="G792" s="215">
        <f t="shared" si="474"/>
        <v>232</v>
      </c>
      <c r="H792" s="19">
        <f t="shared" si="475"/>
        <v>4231</v>
      </c>
      <c r="I792" s="15"/>
      <c r="J792" s="22"/>
      <c r="K792" s="15"/>
      <c r="L792" s="15"/>
      <c r="M792" s="22"/>
      <c r="N792" s="22"/>
      <c r="O792" s="22">
        <f t="shared" si="476"/>
        <v>57330</v>
      </c>
      <c r="P792" s="19">
        <f t="shared" si="477"/>
        <v>2351</v>
      </c>
      <c r="Q792" s="19">
        <f t="shared" si="478"/>
        <v>59681</v>
      </c>
      <c r="R792" s="6">
        <f t="shared" si="479"/>
        <v>627</v>
      </c>
      <c r="S792" s="6"/>
      <c r="T792" s="6"/>
      <c r="U792" s="122">
        <f t="shared" si="504"/>
        <v>4588</v>
      </c>
      <c r="V792" s="122">
        <f t="shared" si="505"/>
        <v>70</v>
      </c>
      <c r="W792" s="122">
        <f t="shared" si="506"/>
        <v>5387</v>
      </c>
      <c r="X792" s="6"/>
      <c r="Y792" s="6"/>
      <c r="Z792" s="6"/>
      <c r="AA792" s="19">
        <f t="shared" si="507"/>
        <v>70353</v>
      </c>
      <c r="AB792" s="19">
        <f t="shared" si="508"/>
        <v>75814</v>
      </c>
      <c r="AC792" s="15">
        <f t="shared" si="509"/>
        <v>1641</v>
      </c>
      <c r="AD792" s="15">
        <f t="shared" si="510"/>
        <v>75814.2</v>
      </c>
      <c r="AE792" s="25"/>
      <c r="AF792" s="157">
        <f t="shared" si="511"/>
        <v>0.2</v>
      </c>
    </row>
    <row r="793" spans="1:32" s="4" customFormat="1" x14ac:dyDescent="0.25">
      <c r="A793" s="64" t="s">
        <v>1122</v>
      </c>
      <c r="B793" s="69" t="s">
        <v>904</v>
      </c>
      <c r="C793" s="12" t="s">
        <v>72</v>
      </c>
      <c r="D793" s="13">
        <v>149.80000000000001</v>
      </c>
      <c r="E793" s="18"/>
      <c r="F793" s="215">
        <v>19160</v>
      </c>
      <c r="G793" s="215">
        <f t="shared" si="474"/>
        <v>1114</v>
      </c>
      <c r="H793" s="19">
        <f t="shared" si="475"/>
        <v>20274</v>
      </c>
      <c r="I793" s="15"/>
      <c r="J793" s="22"/>
      <c r="K793" s="15"/>
      <c r="L793" s="15"/>
      <c r="M793" s="22"/>
      <c r="N793" s="22"/>
      <c r="O793" s="22">
        <f t="shared" si="476"/>
        <v>274713</v>
      </c>
      <c r="P793" s="19">
        <f t="shared" si="477"/>
        <v>11263</v>
      </c>
      <c r="Q793" s="19">
        <f t="shared" si="478"/>
        <v>285976</v>
      </c>
      <c r="R793" s="6">
        <f t="shared" si="479"/>
        <v>3003</v>
      </c>
      <c r="S793" s="6"/>
      <c r="T793" s="6"/>
      <c r="U793" s="122">
        <f t="shared" si="504"/>
        <v>21982</v>
      </c>
      <c r="V793" s="122">
        <f t="shared" si="505"/>
        <v>337</v>
      </c>
      <c r="W793" s="122">
        <f t="shared" si="506"/>
        <v>25814</v>
      </c>
      <c r="X793" s="6"/>
      <c r="Y793" s="6"/>
      <c r="Z793" s="6"/>
      <c r="AA793" s="19">
        <f t="shared" si="507"/>
        <v>337112</v>
      </c>
      <c r="AB793" s="19">
        <f t="shared" si="508"/>
        <v>363279</v>
      </c>
      <c r="AC793" s="15">
        <f t="shared" si="509"/>
        <v>2425.09</v>
      </c>
      <c r="AD793" s="15">
        <f t="shared" si="510"/>
        <v>363278.48</v>
      </c>
      <c r="AE793" s="25"/>
      <c r="AF793" s="157">
        <f t="shared" si="511"/>
        <v>-0.52</v>
      </c>
    </row>
    <row r="794" spans="1:32" s="4" customFormat="1" x14ac:dyDescent="0.25">
      <c r="A794" s="64" t="s">
        <v>1123</v>
      </c>
      <c r="B794" s="69" t="s">
        <v>1291</v>
      </c>
      <c r="C794" s="12" t="s">
        <v>72</v>
      </c>
      <c r="D794" s="13">
        <v>54.7</v>
      </c>
      <c r="E794" s="18"/>
      <c r="F794" s="215">
        <v>2298</v>
      </c>
      <c r="G794" s="215">
        <f t="shared" si="474"/>
        <v>134</v>
      </c>
      <c r="H794" s="19">
        <f t="shared" si="475"/>
        <v>2432</v>
      </c>
      <c r="I794" s="15"/>
      <c r="J794" s="22"/>
      <c r="K794" s="15"/>
      <c r="L794" s="15"/>
      <c r="M794" s="22"/>
      <c r="N794" s="22"/>
      <c r="O794" s="22">
        <f t="shared" si="476"/>
        <v>32954</v>
      </c>
      <c r="P794" s="19">
        <f t="shared" si="477"/>
        <v>1351</v>
      </c>
      <c r="Q794" s="19">
        <f t="shared" si="478"/>
        <v>34305</v>
      </c>
      <c r="R794" s="6">
        <f t="shared" si="479"/>
        <v>360</v>
      </c>
      <c r="S794" s="6"/>
      <c r="T794" s="6"/>
      <c r="U794" s="122">
        <f t="shared" si="504"/>
        <v>2637</v>
      </c>
      <c r="V794" s="122">
        <f t="shared" si="505"/>
        <v>40</v>
      </c>
      <c r="W794" s="122">
        <f t="shared" si="506"/>
        <v>3097</v>
      </c>
      <c r="X794" s="6"/>
      <c r="Y794" s="6"/>
      <c r="Z794" s="6"/>
      <c r="AA794" s="19">
        <f t="shared" si="507"/>
        <v>40439</v>
      </c>
      <c r="AB794" s="19">
        <f t="shared" si="508"/>
        <v>43578</v>
      </c>
      <c r="AC794" s="15">
        <f t="shared" si="509"/>
        <v>796.67</v>
      </c>
      <c r="AD794" s="15">
        <f t="shared" si="510"/>
        <v>43577.85</v>
      </c>
      <c r="AE794" s="25"/>
      <c r="AF794" s="157">
        <f t="shared" si="511"/>
        <v>-0.15</v>
      </c>
    </row>
    <row r="795" spans="1:32" s="4" customFormat="1" x14ac:dyDescent="0.25">
      <c r="A795" s="64" t="s">
        <v>1124</v>
      </c>
      <c r="B795" s="69" t="s">
        <v>893</v>
      </c>
      <c r="C795" s="12" t="s">
        <v>72</v>
      </c>
      <c r="D795" s="13">
        <v>309.8</v>
      </c>
      <c r="E795" s="18"/>
      <c r="F795" s="215">
        <v>50440</v>
      </c>
      <c r="G795" s="215">
        <f t="shared" si="474"/>
        <v>2932</v>
      </c>
      <c r="H795" s="19">
        <f t="shared" si="475"/>
        <v>53372</v>
      </c>
      <c r="I795" s="15"/>
      <c r="J795" s="22"/>
      <c r="K795" s="15"/>
      <c r="L795" s="15"/>
      <c r="M795" s="22"/>
      <c r="N795" s="22"/>
      <c r="O795" s="22">
        <f t="shared" si="476"/>
        <v>723191</v>
      </c>
      <c r="P795" s="19">
        <f t="shared" si="477"/>
        <v>29651</v>
      </c>
      <c r="Q795" s="19">
        <f t="shared" si="478"/>
        <v>752842</v>
      </c>
      <c r="R795" s="6">
        <f t="shared" si="479"/>
        <v>7905</v>
      </c>
      <c r="S795" s="6"/>
      <c r="T795" s="6"/>
      <c r="U795" s="122">
        <f t="shared" si="504"/>
        <v>57869</v>
      </c>
      <c r="V795" s="122">
        <f t="shared" si="505"/>
        <v>886</v>
      </c>
      <c r="W795" s="122">
        <f t="shared" si="506"/>
        <v>67957</v>
      </c>
      <c r="X795" s="6"/>
      <c r="Y795" s="6"/>
      <c r="Z795" s="6"/>
      <c r="AA795" s="19">
        <f t="shared" si="507"/>
        <v>887459</v>
      </c>
      <c r="AB795" s="19">
        <f t="shared" si="508"/>
        <v>956344</v>
      </c>
      <c r="AC795" s="15">
        <f t="shared" si="509"/>
        <v>3086.97</v>
      </c>
      <c r="AD795" s="15">
        <f t="shared" si="510"/>
        <v>956343.31</v>
      </c>
      <c r="AE795" s="25"/>
      <c r="AF795" s="157">
        <f t="shared" si="480"/>
        <v>-0.69</v>
      </c>
    </row>
    <row r="796" spans="1:32" s="4" customFormat="1" x14ac:dyDescent="0.25">
      <c r="A796" s="64" t="s">
        <v>1125</v>
      </c>
      <c r="B796" s="69" t="s">
        <v>894</v>
      </c>
      <c r="C796" s="12" t="s">
        <v>72</v>
      </c>
      <c r="D796" s="13">
        <v>335.8</v>
      </c>
      <c r="E796" s="18"/>
      <c r="F796" s="215">
        <v>61125</v>
      </c>
      <c r="G796" s="215">
        <f t="shared" si="474"/>
        <v>3553</v>
      </c>
      <c r="H796" s="19">
        <f t="shared" si="475"/>
        <v>64678</v>
      </c>
      <c r="I796" s="15"/>
      <c r="J796" s="22"/>
      <c r="K796" s="15"/>
      <c r="L796" s="15"/>
      <c r="M796" s="22"/>
      <c r="N796" s="22"/>
      <c r="O796" s="22">
        <f t="shared" si="476"/>
        <v>876387</v>
      </c>
      <c r="P796" s="19">
        <f t="shared" si="477"/>
        <v>35932</v>
      </c>
      <c r="Q796" s="19">
        <f t="shared" si="478"/>
        <v>912319</v>
      </c>
      <c r="R796" s="6">
        <f t="shared" si="479"/>
        <v>9579</v>
      </c>
      <c r="S796" s="6"/>
      <c r="T796" s="6"/>
      <c r="U796" s="122">
        <f t="shared" si="504"/>
        <v>70127</v>
      </c>
      <c r="V796" s="122">
        <f t="shared" si="505"/>
        <v>1074</v>
      </c>
      <c r="W796" s="122">
        <f t="shared" si="506"/>
        <v>82352</v>
      </c>
      <c r="X796" s="6"/>
      <c r="Y796" s="6"/>
      <c r="Z796" s="6"/>
      <c r="AA796" s="19">
        <f t="shared" si="507"/>
        <v>1075451</v>
      </c>
      <c r="AB796" s="19">
        <f t="shared" si="508"/>
        <v>1158928</v>
      </c>
      <c r="AC796" s="15">
        <f t="shared" si="509"/>
        <v>3451.24</v>
      </c>
      <c r="AD796" s="15">
        <f t="shared" si="510"/>
        <v>1158926.3899999999</v>
      </c>
      <c r="AE796" s="25"/>
      <c r="AF796" s="157">
        <f t="shared" si="480"/>
        <v>-1.61</v>
      </c>
    </row>
    <row r="797" spans="1:32" s="4" customFormat="1" x14ac:dyDescent="0.25">
      <c r="A797" s="23" t="s">
        <v>1126</v>
      </c>
      <c r="B797" s="26" t="s">
        <v>909</v>
      </c>
      <c r="C797" s="21"/>
      <c r="D797" s="212"/>
      <c r="E797" s="213"/>
      <c r="F797" s="216"/>
      <c r="G797" s="215"/>
      <c r="H797" s="19"/>
      <c r="I797" s="32"/>
      <c r="J797" s="22"/>
      <c r="K797" s="15"/>
      <c r="L797" s="15"/>
      <c r="M797" s="31"/>
      <c r="N797" s="31"/>
      <c r="O797" s="22"/>
      <c r="P797" s="19"/>
      <c r="Q797" s="19"/>
      <c r="R797" s="6"/>
      <c r="S797" s="6"/>
      <c r="T797" s="6"/>
      <c r="U797" s="122"/>
      <c r="V797" s="122"/>
      <c r="W797" s="122"/>
      <c r="X797" s="6"/>
      <c r="Y797" s="6"/>
      <c r="Z797" s="6"/>
      <c r="AA797" s="19"/>
      <c r="AB797" s="19"/>
      <c r="AC797" s="15"/>
      <c r="AD797" s="15"/>
      <c r="AE797" s="25"/>
      <c r="AF797" s="157">
        <f t="shared" si="480"/>
        <v>0</v>
      </c>
    </row>
    <row r="798" spans="1:32" s="4" customFormat="1" x14ac:dyDescent="0.25">
      <c r="A798" s="64" t="s">
        <v>1127</v>
      </c>
      <c r="B798" s="69" t="s">
        <v>910</v>
      </c>
      <c r="C798" s="12" t="s">
        <v>70</v>
      </c>
      <c r="D798" s="13">
        <v>390</v>
      </c>
      <c r="E798" s="18"/>
      <c r="F798" s="215">
        <v>109838</v>
      </c>
      <c r="G798" s="215">
        <f t="shared" si="474"/>
        <v>6385</v>
      </c>
      <c r="H798" s="19">
        <f t="shared" si="475"/>
        <v>116223</v>
      </c>
      <c r="I798" s="15"/>
      <c r="J798" s="22"/>
      <c r="K798" s="15"/>
      <c r="L798" s="15"/>
      <c r="M798" s="22"/>
      <c r="N798" s="22"/>
      <c r="O798" s="22">
        <f t="shared" si="476"/>
        <v>1574822</v>
      </c>
      <c r="P798" s="19">
        <f t="shared" si="477"/>
        <v>64568</v>
      </c>
      <c r="Q798" s="19">
        <f t="shared" si="478"/>
        <v>1639390</v>
      </c>
      <c r="R798" s="6">
        <f t="shared" si="479"/>
        <v>17214</v>
      </c>
      <c r="S798" s="6"/>
      <c r="T798" s="6"/>
      <c r="U798" s="122">
        <f>Q798*$U$6</f>
        <v>126015</v>
      </c>
      <c r="V798" s="122">
        <f>Q798*$V$6</f>
        <v>1930</v>
      </c>
      <c r="W798" s="122">
        <f>Q798*$W$6</f>
        <v>147983</v>
      </c>
      <c r="X798" s="6"/>
      <c r="Y798" s="6"/>
      <c r="Z798" s="6"/>
      <c r="AA798" s="19">
        <f>SUM(Q798:Z798)</f>
        <v>1932532</v>
      </c>
      <c r="AB798" s="19">
        <f>$AA798*AB$7</f>
        <v>2082535</v>
      </c>
      <c r="AC798" s="15">
        <f>AB798/D798</f>
        <v>5339.83</v>
      </c>
      <c r="AD798" s="15">
        <f>AC798*D798</f>
        <v>2082533.7</v>
      </c>
      <c r="AE798" s="25"/>
      <c r="AF798" s="157">
        <f t="shared" si="480"/>
        <v>-1.3</v>
      </c>
    </row>
    <row r="799" spans="1:32" s="4" customFormat="1" x14ac:dyDescent="0.25">
      <c r="A799" s="64" t="s">
        <v>1128</v>
      </c>
      <c r="B799" s="69" t="s">
        <v>1292</v>
      </c>
      <c r="C799" s="12" t="s">
        <v>72</v>
      </c>
      <c r="D799" s="13">
        <v>23.2</v>
      </c>
      <c r="E799" s="18"/>
      <c r="F799" s="215">
        <v>4132</v>
      </c>
      <c r="G799" s="215">
        <f t="shared" si="474"/>
        <v>240</v>
      </c>
      <c r="H799" s="19">
        <f t="shared" si="475"/>
        <v>4372</v>
      </c>
      <c r="I799" s="15"/>
      <c r="J799" s="22"/>
      <c r="K799" s="15"/>
      <c r="L799" s="15"/>
      <c r="M799" s="22"/>
      <c r="N799" s="22"/>
      <c r="O799" s="22">
        <f t="shared" si="476"/>
        <v>59241</v>
      </c>
      <c r="P799" s="19">
        <f t="shared" si="477"/>
        <v>2429</v>
      </c>
      <c r="Q799" s="19">
        <f t="shared" si="478"/>
        <v>61670</v>
      </c>
      <c r="R799" s="6">
        <f t="shared" si="479"/>
        <v>648</v>
      </c>
      <c r="S799" s="6"/>
      <c r="T799" s="6"/>
      <c r="U799" s="122">
        <f>Q799*$U$6</f>
        <v>4740</v>
      </c>
      <c r="V799" s="122">
        <f>Q799*$V$6</f>
        <v>73</v>
      </c>
      <c r="W799" s="122">
        <f>Q799*$W$6</f>
        <v>5567</v>
      </c>
      <c r="X799" s="6"/>
      <c r="Y799" s="6"/>
      <c r="Z799" s="6"/>
      <c r="AA799" s="19">
        <f>SUM(Q799:Z799)</f>
        <v>72698</v>
      </c>
      <c r="AB799" s="19">
        <f>$AA799*AB$7</f>
        <v>78341</v>
      </c>
      <c r="AC799" s="15">
        <f>AB799/D799</f>
        <v>3376.77</v>
      </c>
      <c r="AD799" s="15">
        <f>AC799*D799</f>
        <v>78341.06</v>
      </c>
      <c r="AE799" s="25"/>
      <c r="AF799" s="157">
        <f t="shared" ref="AF799" si="512">AD799-AB799</f>
        <v>0.06</v>
      </c>
    </row>
    <row r="800" spans="1:32" s="4" customFormat="1" x14ac:dyDescent="0.25">
      <c r="A800" s="64" t="s">
        <v>1128</v>
      </c>
      <c r="B800" s="69" t="s">
        <v>914</v>
      </c>
      <c r="C800" s="12" t="s">
        <v>72</v>
      </c>
      <c r="D800" s="13">
        <v>28</v>
      </c>
      <c r="E800" s="18"/>
      <c r="F800" s="215">
        <v>793</v>
      </c>
      <c r="G800" s="215">
        <f t="shared" si="474"/>
        <v>46</v>
      </c>
      <c r="H800" s="19">
        <f t="shared" si="475"/>
        <v>839</v>
      </c>
      <c r="I800" s="15"/>
      <c r="J800" s="22"/>
      <c r="K800" s="15"/>
      <c r="L800" s="15"/>
      <c r="M800" s="22"/>
      <c r="N800" s="22"/>
      <c r="O800" s="22">
        <f t="shared" si="476"/>
        <v>11368</v>
      </c>
      <c r="P800" s="19">
        <f t="shared" si="477"/>
        <v>466</v>
      </c>
      <c r="Q800" s="19">
        <f t="shared" si="478"/>
        <v>11834</v>
      </c>
      <c r="R800" s="6">
        <f t="shared" si="479"/>
        <v>124</v>
      </c>
      <c r="S800" s="6"/>
      <c r="T800" s="6"/>
      <c r="U800" s="122">
        <f>Q800*$U$6</f>
        <v>910</v>
      </c>
      <c r="V800" s="122">
        <f>Q800*$V$6</f>
        <v>14</v>
      </c>
      <c r="W800" s="122">
        <f>Q800*$W$6</f>
        <v>1068</v>
      </c>
      <c r="X800" s="6"/>
      <c r="Y800" s="6"/>
      <c r="Z800" s="6"/>
      <c r="AA800" s="19">
        <f>SUM(Q800:Z800)</f>
        <v>13950</v>
      </c>
      <c r="AB800" s="19">
        <f>$AA800*AB$7</f>
        <v>15033</v>
      </c>
      <c r="AC800" s="15">
        <f>AB800/D800</f>
        <v>536.89</v>
      </c>
      <c r="AD800" s="15">
        <f>AC800*D800</f>
        <v>15032.92</v>
      </c>
      <c r="AE800" s="25"/>
      <c r="AF800" s="157">
        <f t="shared" si="480"/>
        <v>-0.08</v>
      </c>
    </row>
    <row r="801" spans="1:32" s="4" customFormat="1" x14ac:dyDescent="0.25">
      <c r="A801" s="23" t="s">
        <v>1282</v>
      </c>
      <c r="B801" s="26" t="s">
        <v>491</v>
      </c>
      <c r="C801" s="21"/>
      <c r="D801" s="212"/>
      <c r="E801" s="213"/>
      <c r="F801" s="216"/>
      <c r="G801" s="215"/>
      <c r="H801" s="19"/>
      <c r="I801" s="32"/>
      <c r="J801" s="22"/>
      <c r="K801" s="15"/>
      <c r="L801" s="15"/>
      <c r="M801" s="31"/>
      <c r="N801" s="31"/>
      <c r="O801" s="22"/>
      <c r="P801" s="19"/>
      <c r="Q801" s="19"/>
      <c r="R801" s="6"/>
      <c r="S801" s="6"/>
      <c r="T801" s="6"/>
      <c r="U801" s="122"/>
      <c r="V801" s="122"/>
      <c r="W801" s="122"/>
      <c r="X801" s="6"/>
      <c r="Y801" s="6"/>
      <c r="Z801" s="6"/>
      <c r="AA801" s="19"/>
      <c r="AB801" s="19"/>
      <c r="AC801" s="15"/>
      <c r="AD801" s="15"/>
      <c r="AE801" s="25"/>
      <c r="AF801" s="157">
        <f t="shared" ref="AF801:AF803" si="513">AD801-AB801</f>
        <v>0</v>
      </c>
    </row>
    <row r="802" spans="1:32" s="4" customFormat="1" x14ac:dyDescent="0.25">
      <c r="A802" s="64" t="s">
        <v>1283</v>
      </c>
      <c r="B802" s="69" t="s">
        <v>915</v>
      </c>
      <c r="C802" s="12" t="s">
        <v>70</v>
      </c>
      <c r="D802" s="13">
        <v>12.66</v>
      </c>
      <c r="E802" s="18"/>
      <c r="F802" s="215">
        <v>46001</v>
      </c>
      <c r="G802" s="215">
        <f t="shared" si="474"/>
        <v>2674</v>
      </c>
      <c r="H802" s="19">
        <f t="shared" si="475"/>
        <v>48675</v>
      </c>
      <c r="I802" s="15"/>
      <c r="J802" s="22"/>
      <c r="K802" s="15"/>
      <c r="L802" s="15"/>
      <c r="M802" s="22"/>
      <c r="N802" s="22"/>
      <c r="O802" s="22">
        <f t="shared" si="476"/>
        <v>659546</v>
      </c>
      <c r="P802" s="19">
        <f t="shared" si="477"/>
        <v>27041</v>
      </c>
      <c r="Q802" s="19">
        <f t="shared" si="478"/>
        <v>686587</v>
      </c>
      <c r="R802" s="6">
        <f t="shared" si="479"/>
        <v>7209</v>
      </c>
      <c r="S802" s="6"/>
      <c r="T802" s="6"/>
      <c r="U802" s="122">
        <f>Q802*$U$6</f>
        <v>52776</v>
      </c>
      <c r="V802" s="122">
        <f>Q802*$V$6</f>
        <v>808</v>
      </c>
      <c r="W802" s="122">
        <f>Q802*$W$6</f>
        <v>61976</v>
      </c>
      <c r="X802" s="6"/>
      <c r="Y802" s="6"/>
      <c r="Z802" s="6"/>
      <c r="AA802" s="19">
        <f>SUM(Q802:Z802)</f>
        <v>809356</v>
      </c>
      <c r="AB802" s="19">
        <f>$AA802*AB$7</f>
        <v>872178</v>
      </c>
      <c r="AC802" s="15">
        <f>AB802/D802</f>
        <v>68892.42</v>
      </c>
      <c r="AD802" s="15">
        <f>AC802*D802</f>
        <v>872178.04</v>
      </c>
      <c r="AE802" s="25"/>
      <c r="AF802" s="157">
        <f t="shared" si="513"/>
        <v>0.04</v>
      </c>
    </row>
    <row r="803" spans="1:32" s="4" customFormat="1" ht="25.5" x14ac:dyDescent="0.25">
      <c r="A803" s="64" t="s">
        <v>1284</v>
      </c>
      <c r="B803" s="69" t="s">
        <v>916</v>
      </c>
      <c r="C803" s="12" t="s">
        <v>311</v>
      </c>
      <c r="D803" s="13">
        <v>0.59</v>
      </c>
      <c r="E803" s="18"/>
      <c r="F803" s="215">
        <v>14594</v>
      </c>
      <c r="G803" s="215">
        <f t="shared" si="474"/>
        <v>848</v>
      </c>
      <c r="H803" s="19">
        <f t="shared" si="475"/>
        <v>15442</v>
      </c>
      <c r="I803" s="15"/>
      <c r="J803" s="22"/>
      <c r="K803" s="15"/>
      <c r="L803" s="15"/>
      <c r="M803" s="22"/>
      <c r="N803" s="22"/>
      <c r="O803" s="22">
        <f t="shared" si="476"/>
        <v>209239</v>
      </c>
      <c r="P803" s="19">
        <f t="shared" si="477"/>
        <v>8579</v>
      </c>
      <c r="Q803" s="19">
        <f t="shared" si="478"/>
        <v>217818</v>
      </c>
      <c r="R803" s="6">
        <f t="shared" si="479"/>
        <v>2287</v>
      </c>
      <c r="S803" s="6"/>
      <c r="T803" s="6"/>
      <c r="U803" s="122">
        <f>Q803*$U$6</f>
        <v>16743</v>
      </c>
      <c r="V803" s="122">
        <f>Q803*$V$6</f>
        <v>256</v>
      </c>
      <c r="W803" s="122">
        <f>Q803*$W$6</f>
        <v>19662</v>
      </c>
      <c r="X803" s="6"/>
      <c r="Y803" s="6"/>
      <c r="Z803" s="6"/>
      <c r="AA803" s="19">
        <f>SUM(Q803:Z803)</f>
        <v>256766</v>
      </c>
      <c r="AB803" s="19">
        <f>$AA803*AB$7</f>
        <v>276696</v>
      </c>
      <c r="AC803" s="15">
        <f>AB803/D803</f>
        <v>468976.27</v>
      </c>
      <c r="AD803" s="15">
        <f>AC803*D803</f>
        <v>276696</v>
      </c>
      <c r="AE803" s="25"/>
      <c r="AF803" s="157">
        <f t="shared" si="513"/>
        <v>0</v>
      </c>
    </row>
    <row r="804" spans="1:32" s="4" customFormat="1" x14ac:dyDescent="0.25">
      <c r="A804" s="23" t="s">
        <v>1285</v>
      </c>
      <c r="B804" s="26" t="s">
        <v>1028</v>
      </c>
      <c r="C804" s="21"/>
      <c r="D804" s="212"/>
      <c r="E804" s="213"/>
      <c r="F804" s="216"/>
      <c r="G804" s="215"/>
      <c r="H804" s="19"/>
      <c r="I804" s="32"/>
      <c r="J804" s="22"/>
      <c r="K804" s="15"/>
      <c r="L804" s="15"/>
      <c r="M804" s="31"/>
      <c r="N804" s="31"/>
      <c r="O804" s="22"/>
      <c r="P804" s="19"/>
      <c r="Q804" s="19"/>
      <c r="R804" s="6"/>
      <c r="S804" s="6"/>
      <c r="T804" s="6"/>
      <c r="U804" s="122"/>
      <c r="V804" s="122"/>
      <c r="W804" s="122"/>
      <c r="X804" s="6"/>
      <c r="Y804" s="6"/>
      <c r="Z804" s="6"/>
      <c r="AA804" s="19"/>
      <c r="AB804" s="19"/>
      <c r="AC804" s="15"/>
      <c r="AD804" s="15"/>
      <c r="AE804" s="25"/>
      <c r="AF804" s="157">
        <f t="shared" ref="AF804:AF805" si="514">AD804-AB804</f>
        <v>0</v>
      </c>
    </row>
    <row r="805" spans="1:32" s="4" customFormat="1" x14ac:dyDescent="0.25">
      <c r="A805" s="64" t="s">
        <v>1286</v>
      </c>
      <c r="B805" s="69" t="s">
        <v>1028</v>
      </c>
      <c r="C805" s="12" t="s">
        <v>890</v>
      </c>
      <c r="D805" s="13">
        <v>17</v>
      </c>
      <c r="E805" s="18"/>
      <c r="F805" s="215">
        <v>12723</v>
      </c>
      <c r="G805" s="215">
        <f t="shared" si="474"/>
        <v>740</v>
      </c>
      <c r="H805" s="19">
        <f t="shared" si="475"/>
        <v>13463</v>
      </c>
      <c r="I805" s="15"/>
      <c r="J805" s="22"/>
      <c r="K805" s="15"/>
      <c r="L805" s="15"/>
      <c r="M805" s="22"/>
      <c r="N805" s="22"/>
      <c r="O805" s="22">
        <f t="shared" si="476"/>
        <v>182424</v>
      </c>
      <c r="P805" s="19">
        <f t="shared" si="477"/>
        <v>7479</v>
      </c>
      <c r="Q805" s="19">
        <f t="shared" si="478"/>
        <v>189903</v>
      </c>
      <c r="R805" s="6">
        <f t="shared" si="479"/>
        <v>1994</v>
      </c>
      <c r="S805" s="6"/>
      <c r="T805" s="6"/>
      <c r="U805" s="122">
        <f>Q805*$U$6</f>
        <v>14597</v>
      </c>
      <c r="V805" s="122">
        <f>Q805*$V$6</f>
        <v>224</v>
      </c>
      <c r="W805" s="122">
        <f>Q805*$W$6</f>
        <v>17142</v>
      </c>
      <c r="X805" s="6"/>
      <c r="Y805" s="6"/>
      <c r="Z805" s="6"/>
      <c r="AA805" s="19">
        <f>SUM(Q805:Z805)</f>
        <v>223860</v>
      </c>
      <c r="AB805" s="19">
        <f>$AA805*AB$7</f>
        <v>241236</v>
      </c>
      <c r="AC805" s="15">
        <f>AB805/D805</f>
        <v>14190.35</v>
      </c>
      <c r="AD805" s="15">
        <f>AC805*D805</f>
        <v>241235.95</v>
      </c>
      <c r="AE805" s="25"/>
      <c r="AF805" s="157">
        <f t="shared" si="514"/>
        <v>-0.05</v>
      </c>
    </row>
    <row r="806" spans="1:32" s="51" customFormat="1" x14ac:dyDescent="0.25">
      <c r="A806" s="108" t="s">
        <v>173</v>
      </c>
      <c r="B806" s="88" t="s">
        <v>174</v>
      </c>
      <c r="C806" s="92"/>
      <c r="D806" s="93"/>
      <c r="E806" s="94"/>
      <c r="F806" s="94"/>
      <c r="G806" s="94"/>
      <c r="H806" s="111">
        <v>11802220</v>
      </c>
      <c r="I806" s="20"/>
      <c r="J806" s="20">
        <f>11802.22*1000</f>
        <v>11802220</v>
      </c>
      <c r="K806" s="20" t="s">
        <v>157</v>
      </c>
      <c r="L806" s="20">
        <f>H806-J806</f>
        <v>0</v>
      </c>
      <c r="M806" s="95">
        <v>107636210</v>
      </c>
      <c r="N806" s="50">
        <f>SUM(O808:O831)-M806</f>
        <v>17</v>
      </c>
      <c r="O806" s="95"/>
      <c r="P806" s="50"/>
      <c r="Q806" s="50"/>
      <c r="R806" s="50"/>
      <c r="S806" s="30"/>
      <c r="T806" s="30"/>
      <c r="U806" s="126"/>
      <c r="V806" s="126"/>
      <c r="W806" s="50"/>
      <c r="X806" s="30"/>
      <c r="Y806" s="30"/>
      <c r="Z806" s="30"/>
      <c r="AA806" s="50"/>
      <c r="AB806" s="50"/>
      <c r="AC806" s="20"/>
      <c r="AD806" s="20"/>
      <c r="AE806" s="97"/>
      <c r="AF806" s="157">
        <f t="shared" si="425"/>
        <v>0</v>
      </c>
    </row>
    <row r="807" spans="1:32" s="43" customFormat="1" x14ac:dyDescent="0.25">
      <c r="A807" s="23" t="s">
        <v>175</v>
      </c>
      <c r="B807" s="17" t="s">
        <v>153</v>
      </c>
      <c r="C807" s="24"/>
      <c r="D807" s="13"/>
      <c r="E807" s="14"/>
      <c r="F807" s="14"/>
      <c r="G807" s="14"/>
      <c r="H807" s="36"/>
      <c r="I807" s="15"/>
      <c r="J807" s="15"/>
      <c r="K807" s="15"/>
      <c r="L807" s="15"/>
      <c r="M807" s="22"/>
      <c r="N807" s="22"/>
      <c r="O807" s="22"/>
      <c r="P807" s="19"/>
      <c r="Q807" s="19"/>
      <c r="R807" s="6"/>
      <c r="S807" s="6"/>
      <c r="T807" s="6"/>
      <c r="U807" s="6"/>
      <c r="V807" s="6"/>
      <c r="W807" s="6"/>
      <c r="X807" s="6"/>
      <c r="Y807" s="6"/>
      <c r="Z807" s="6"/>
      <c r="AA807" s="19"/>
      <c r="AB807" s="19"/>
      <c r="AC807" s="15"/>
      <c r="AD807" s="15"/>
      <c r="AE807" s="25"/>
      <c r="AF807" s="157">
        <f t="shared" si="425"/>
        <v>0</v>
      </c>
    </row>
    <row r="808" spans="1:32" s="43" customFormat="1" x14ac:dyDescent="0.25">
      <c r="A808" s="64" t="s">
        <v>176</v>
      </c>
      <c r="B808" s="55" t="s">
        <v>422</v>
      </c>
      <c r="C808" s="16" t="s">
        <v>70</v>
      </c>
      <c r="D808" s="52">
        <f>2990+161+64+2535+79</f>
        <v>5829</v>
      </c>
      <c r="E808" s="14">
        <f t="shared" ref="E808:E811" si="515">H808/D808</f>
        <v>105.85</v>
      </c>
      <c r="F808" s="14"/>
      <c r="G808" s="14"/>
      <c r="H808" s="136">
        <v>616993</v>
      </c>
      <c r="I808" s="15"/>
      <c r="J808" s="15"/>
      <c r="K808" s="15"/>
      <c r="L808" s="15"/>
      <c r="M808" s="22"/>
      <c r="N808" s="22"/>
      <c r="O808" s="22">
        <f>H808*9.12</f>
        <v>5626976</v>
      </c>
      <c r="P808" s="19">
        <f>O808*4.1%</f>
        <v>230706</v>
      </c>
      <c r="Q808" s="19">
        <f>SUM(O808:P808)</f>
        <v>5857682</v>
      </c>
      <c r="R808" s="6">
        <f>Q808*0.7%</f>
        <v>41004</v>
      </c>
      <c r="S808" s="6"/>
      <c r="T808" s="6"/>
      <c r="U808" s="126">
        <f>Q808*$U$4</f>
        <v>28570</v>
      </c>
      <c r="V808" s="126">
        <f>Q808*$V$4</f>
        <v>6557</v>
      </c>
      <c r="W808" s="6"/>
      <c r="X808" s="6"/>
      <c r="Y808" s="6"/>
      <c r="Z808" s="6"/>
      <c r="AA808" s="19">
        <f>SUM(Q808:Z808)</f>
        <v>5933813</v>
      </c>
      <c r="AB808" s="19">
        <f t="shared" ref="AB808:AB831" si="516">$AA808*AB$7</f>
        <v>6394396</v>
      </c>
      <c r="AC808" s="15">
        <f>AB808/D808</f>
        <v>1097</v>
      </c>
      <c r="AD808" s="15">
        <f>AC808*D808</f>
        <v>6394413</v>
      </c>
      <c r="AE808" s="25"/>
      <c r="AF808" s="157">
        <f t="shared" si="425"/>
        <v>17</v>
      </c>
    </row>
    <row r="809" spans="1:32" s="43" customFormat="1" x14ac:dyDescent="0.25">
      <c r="A809" s="64" t="s">
        <v>520</v>
      </c>
      <c r="B809" s="55" t="s">
        <v>392</v>
      </c>
      <c r="C809" s="16" t="s">
        <v>70</v>
      </c>
      <c r="D809" s="52">
        <f>15540</f>
        <v>15540</v>
      </c>
      <c r="E809" s="14">
        <f t="shared" si="515"/>
        <v>221.5</v>
      </c>
      <c r="F809" s="14"/>
      <c r="G809" s="14"/>
      <c r="H809" s="136">
        <v>3442037</v>
      </c>
      <c r="I809" s="15"/>
      <c r="J809" s="15"/>
      <c r="K809" s="15"/>
      <c r="L809" s="15"/>
      <c r="M809" s="22"/>
      <c r="N809" s="22"/>
      <c r="O809" s="22">
        <f t="shared" ref="O809:O831" si="517">H809*9.12</f>
        <v>31391377</v>
      </c>
      <c r="P809" s="19">
        <f t="shared" ref="P809:P831" si="518">O809*4.1%</f>
        <v>1287046</v>
      </c>
      <c r="Q809" s="19">
        <f t="shared" ref="Q809:Q831" si="519">SUM(O809:P809)</f>
        <v>32678423</v>
      </c>
      <c r="R809" s="6">
        <f t="shared" ref="R809:R831" si="520">Q809*0.7%</f>
        <v>228749</v>
      </c>
      <c r="S809" s="6"/>
      <c r="T809" s="6"/>
      <c r="U809" s="126">
        <f t="shared" ref="U809:U831" si="521">Q809*$U$4</f>
        <v>159387</v>
      </c>
      <c r="V809" s="126">
        <f t="shared" ref="V809:V831" si="522">Q809*$V$4</f>
        <v>36582</v>
      </c>
      <c r="W809" s="6"/>
      <c r="X809" s="6"/>
      <c r="Y809" s="6"/>
      <c r="Z809" s="6"/>
      <c r="AA809" s="19">
        <f t="shared" ref="AA809:AA831" si="523">SUM(Q809:Z809)</f>
        <v>33103141</v>
      </c>
      <c r="AB809" s="19">
        <f t="shared" si="516"/>
        <v>35672607</v>
      </c>
      <c r="AC809" s="15">
        <f>AB809/D809</f>
        <v>2295.5300000000002</v>
      </c>
      <c r="AD809" s="15">
        <f>AC809*D809</f>
        <v>35672536.200000003</v>
      </c>
      <c r="AE809" s="25"/>
      <c r="AF809" s="157">
        <f t="shared" si="425"/>
        <v>-70.8</v>
      </c>
    </row>
    <row r="810" spans="1:32" s="43" customFormat="1" ht="25.5" x14ac:dyDescent="0.25">
      <c r="A810" s="64" t="s">
        <v>521</v>
      </c>
      <c r="B810" s="55" t="s">
        <v>523</v>
      </c>
      <c r="C810" s="16" t="s">
        <v>72</v>
      </c>
      <c r="D810" s="52">
        <f>2077+3560</f>
        <v>5637</v>
      </c>
      <c r="E810" s="14">
        <f t="shared" si="515"/>
        <v>25.94</v>
      </c>
      <c r="F810" s="14"/>
      <c r="G810" s="14"/>
      <c r="H810" s="136">
        <v>146218</v>
      </c>
      <c r="I810" s="15"/>
      <c r="J810" s="15"/>
      <c r="K810" s="15"/>
      <c r="L810" s="15"/>
      <c r="M810" s="22"/>
      <c r="N810" s="22"/>
      <c r="O810" s="22">
        <f t="shared" si="517"/>
        <v>1333508</v>
      </c>
      <c r="P810" s="19">
        <f t="shared" si="518"/>
        <v>54674</v>
      </c>
      <c r="Q810" s="19">
        <f t="shared" si="519"/>
        <v>1388182</v>
      </c>
      <c r="R810" s="6">
        <f t="shared" si="520"/>
        <v>9717</v>
      </c>
      <c r="S810" s="6"/>
      <c r="T810" s="6"/>
      <c r="U810" s="126">
        <f t="shared" si="521"/>
        <v>6771</v>
      </c>
      <c r="V810" s="126">
        <f t="shared" si="522"/>
        <v>1554</v>
      </c>
      <c r="W810" s="6"/>
      <c r="X810" s="6"/>
      <c r="Y810" s="6"/>
      <c r="Z810" s="6"/>
      <c r="AA810" s="19">
        <f t="shared" si="523"/>
        <v>1406224</v>
      </c>
      <c r="AB810" s="19">
        <f t="shared" si="516"/>
        <v>1515375</v>
      </c>
      <c r="AC810" s="15">
        <f>AB810/D810</f>
        <v>268.83</v>
      </c>
      <c r="AD810" s="15">
        <f>AC810*D810</f>
        <v>1515394.71</v>
      </c>
      <c r="AE810" s="25"/>
      <c r="AF810" s="157">
        <f t="shared" si="425"/>
        <v>19.71</v>
      </c>
    </row>
    <row r="811" spans="1:32" s="43" customFormat="1" x14ac:dyDescent="0.25">
      <c r="A811" s="64" t="s">
        <v>522</v>
      </c>
      <c r="B811" s="55" t="s">
        <v>524</v>
      </c>
      <c r="C811" s="16" t="s">
        <v>72</v>
      </c>
      <c r="D811" s="52">
        <v>319</v>
      </c>
      <c r="E811" s="14">
        <f t="shared" si="515"/>
        <v>76.260000000000005</v>
      </c>
      <c r="F811" s="14"/>
      <c r="G811" s="14"/>
      <c r="H811" s="136">
        <v>24328</v>
      </c>
      <c r="I811" s="15"/>
      <c r="J811" s="15"/>
      <c r="K811" s="15"/>
      <c r="L811" s="15"/>
      <c r="M811" s="22"/>
      <c r="N811" s="22"/>
      <c r="O811" s="22">
        <f t="shared" si="517"/>
        <v>221871</v>
      </c>
      <c r="P811" s="19">
        <f t="shared" si="518"/>
        <v>9097</v>
      </c>
      <c r="Q811" s="19">
        <f t="shared" si="519"/>
        <v>230968</v>
      </c>
      <c r="R811" s="6">
        <f t="shared" si="520"/>
        <v>1617</v>
      </c>
      <c r="S811" s="6"/>
      <c r="T811" s="6"/>
      <c r="U811" s="126">
        <f t="shared" si="521"/>
        <v>1127</v>
      </c>
      <c r="V811" s="126">
        <f t="shared" si="522"/>
        <v>259</v>
      </c>
      <c r="W811" s="6"/>
      <c r="X811" s="6"/>
      <c r="Y811" s="6"/>
      <c r="Z811" s="6"/>
      <c r="AA811" s="19">
        <f t="shared" si="523"/>
        <v>233971</v>
      </c>
      <c r="AB811" s="19">
        <f t="shared" si="516"/>
        <v>252132</v>
      </c>
      <c r="AC811" s="15">
        <f>AB811/D811</f>
        <v>790.38</v>
      </c>
      <c r="AD811" s="15">
        <f>AC811*D811</f>
        <v>252131.22</v>
      </c>
      <c r="AE811" s="25"/>
      <c r="AF811" s="157">
        <f t="shared" si="425"/>
        <v>-0.78</v>
      </c>
    </row>
    <row r="812" spans="1:32" s="43" customFormat="1" x14ac:dyDescent="0.25">
      <c r="A812" s="23" t="s">
        <v>525</v>
      </c>
      <c r="B812" s="17" t="s">
        <v>436</v>
      </c>
      <c r="C812" s="24"/>
      <c r="D812" s="13"/>
      <c r="E812" s="14"/>
      <c r="F812" s="14"/>
      <c r="G812" s="14"/>
      <c r="H812" s="36"/>
      <c r="I812" s="15"/>
      <c r="J812" s="15"/>
      <c r="K812" s="15"/>
      <c r="L812" s="15"/>
      <c r="M812" s="22"/>
      <c r="N812" s="22"/>
      <c r="O812" s="22"/>
      <c r="P812" s="19"/>
      <c r="Q812" s="19"/>
      <c r="R812" s="6"/>
      <c r="S812" s="6"/>
      <c r="T812" s="6"/>
      <c r="U812" s="126"/>
      <c r="V812" s="126"/>
      <c r="W812" s="6"/>
      <c r="X812" s="6"/>
      <c r="Y812" s="6"/>
      <c r="Z812" s="6"/>
      <c r="AA812" s="19"/>
      <c r="AB812" s="19"/>
      <c r="AC812" s="15"/>
      <c r="AD812" s="15"/>
      <c r="AE812" s="25"/>
      <c r="AF812" s="157">
        <f t="shared" si="425"/>
        <v>0</v>
      </c>
    </row>
    <row r="813" spans="1:32" s="43" customFormat="1" ht="25.5" x14ac:dyDescent="0.25">
      <c r="A813" s="64" t="s">
        <v>526</v>
      </c>
      <c r="B813" s="55" t="s">
        <v>527</v>
      </c>
      <c r="C813" s="16" t="s">
        <v>72</v>
      </c>
      <c r="D813" s="52">
        <v>6063</v>
      </c>
      <c r="E813" s="14">
        <f t="shared" ref="E813:E821" si="524">H813/D813</f>
        <v>222.98</v>
      </c>
      <c r="F813" s="14"/>
      <c r="G813" s="14"/>
      <c r="H813" s="136">
        <v>1351923</v>
      </c>
      <c r="I813" s="15"/>
      <c r="J813" s="15"/>
      <c r="K813" s="15"/>
      <c r="L813" s="15"/>
      <c r="M813" s="22"/>
      <c r="N813" s="22"/>
      <c r="O813" s="22">
        <f t="shared" si="517"/>
        <v>12329538</v>
      </c>
      <c r="P813" s="19">
        <f t="shared" si="518"/>
        <v>505511</v>
      </c>
      <c r="Q813" s="19">
        <f t="shared" si="519"/>
        <v>12835049</v>
      </c>
      <c r="R813" s="6">
        <f t="shared" si="520"/>
        <v>89845</v>
      </c>
      <c r="S813" s="6"/>
      <c r="T813" s="6"/>
      <c r="U813" s="126">
        <f t="shared" si="521"/>
        <v>62602</v>
      </c>
      <c r="V813" s="126">
        <f t="shared" si="522"/>
        <v>14368</v>
      </c>
      <c r="W813" s="6"/>
      <c r="X813" s="6"/>
      <c r="Y813" s="6"/>
      <c r="Z813" s="6"/>
      <c r="AA813" s="19">
        <f t="shared" si="523"/>
        <v>13001864</v>
      </c>
      <c r="AB813" s="19">
        <f t="shared" si="516"/>
        <v>14011069</v>
      </c>
      <c r="AC813" s="15">
        <f>AB813/D813</f>
        <v>2310.91</v>
      </c>
      <c r="AD813" s="15">
        <f>AC813*D813</f>
        <v>14011047.33</v>
      </c>
      <c r="AE813" s="25"/>
      <c r="AF813" s="157">
        <f t="shared" si="425"/>
        <v>-21.67</v>
      </c>
    </row>
    <row r="814" spans="1:32" s="43" customFormat="1" ht="25.5" x14ac:dyDescent="0.25">
      <c r="A814" s="64" t="s">
        <v>528</v>
      </c>
      <c r="B814" s="55" t="s">
        <v>449</v>
      </c>
      <c r="C814" s="16" t="s">
        <v>72</v>
      </c>
      <c r="D814" s="52">
        <v>5540</v>
      </c>
      <c r="E814" s="14">
        <f t="shared" si="524"/>
        <v>164.32</v>
      </c>
      <c r="F814" s="14"/>
      <c r="G814" s="14"/>
      <c r="H814" s="136">
        <v>910351</v>
      </c>
      <c r="I814" s="15"/>
      <c r="J814" s="15"/>
      <c r="K814" s="15"/>
      <c r="L814" s="15"/>
      <c r="M814" s="22"/>
      <c r="N814" s="22"/>
      <c r="O814" s="22">
        <f t="shared" si="517"/>
        <v>8302401</v>
      </c>
      <c r="P814" s="19">
        <f t="shared" si="518"/>
        <v>340398</v>
      </c>
      <c r="Q814" s="19">
        <f t="shared" si="519"/>
        <v>8642799</v>
      </c>
      <c r="R814" s="6">
        <f t="shared" si="520"/>
        <v>60500</v>
      </c>
      <c r="S814" s="6"/>
      <c r="T814" s="6"/>
      <c r="U814" s="126">
        <f t="shared" si="521"/>
        <v>42155</v>
      </c>
      <c r="V814" s="126">
        <f t="shared" si="522"/>
        <v>9675</v>
      </c>
      <c r="W814" s="6"/>
      <c r="X814" s="6"/>
      <c r="Y814" s="6"/>
      <c r="Z814" s="6"/>
      <c r="AA814" s="19">
        <f t="shared" si="523"/>
        <v>8755129</v>
      </c>
      <c r="AB814" s="19">
        <f t="shared" si="516"/>
        <v>9434702</v>
      </c>
      <c r="AC814" s="15">
        <f>AB814/D814</f>
        <v>1703.01</v>
      </c>
      <c r="AD814" s="15">
        <f>AC814*D814</f>
        <v>9434675.4000000004</v>
      </c>
      <c r="AE814" s="25"/>
      <c r="AF814" s="157">
        <f t="shared" si="425"/>
        <v>-26.6</v>
      </c>
    </row>
    <row r="815" spans="1:32" s="43" customFormat="1" ht="25.5" x14ac:dyDescent="0.25">
      <c r="A815" s="64" t="s">
        <v>529</v>
      </c>
      <c r="B815" s="55" t="s">
        <v>404</v>
      </c>
      <c r="C815" s="16" t="s">
        <v>72</v>
      </c>
      <c r="D815" s="52">
        <v>5540</v>
      </c>
      <c r="E815" s="14">
        <f t="shared" si="524"/>
        <v>129.6</v>
      </c>
      <c r="F815" s="14"/>
      <c r="G815" s="14"/>
      <c r="H815" s="136">
        <v>717963</v>
      </c>
      <c r="I815" s="15"/>
      <c r="J815" s="15"/>
      <c r="K815" s="15"/>
      <c r="L815" s="15"/>
      <c r="M815" s="22"/>
      <c r="N815" s="22"/>
      <c r="O815" s="22">
        <f t="shared" si="517"/>
        <v>6547823</v>
      </c>
      <c r="P815" s="19">
        <f t="shared" si="518"/>
        <v>268461</v>
      </c>
      <c r="Q815" s="19">
        <f t="shared" si="519"/>
        <v>6816284</v>
      </c>
      <c r="R815" s="6">
        <f t="shared" si="520"/>
        <v>47714</v>
      </c>
      <c r="S815" s="6"/>
      <c r="T815" s="6"/>
      <c r="U815" s="126">
        <f t="shared" si="521"/>
        <v>33246</v>
      </c>
      <c r="V815" s="126">
        <f t="shared" si="522"/>
        <v>7631</v>
      </c>
      <c r="W815" s="6"/>
      <c r="X815" s="6"/>
      <c r="Y815" s="6"/>
      <c r="Z815" s="6"/>
      <c r="AA815" s="19">
        <f t="shared" si="523"/>
        <v>6904875</v>
      </c>
      <c r="AB815" s="19">
        <f t="shared" si="516"/>
        <v>7440831</v>
      </c>
      <c r="AC815" s="15">
        <f>AB815/D815</f>
        <v>1343.11</v>
      </c>
      <c r="AD815" s="15">
        <f>AC815*D815</f>
        <v>7440829.4000000004</v>
      </c>
      <c r="AE815" s="25"/>
      <c r="AF815" s="157">
        <f t="shared" si="425"/>
        <v>-1.6</v>
      </c>
    </row>
    <row r="816" spans="1:32" s="43" customFormat="1" x14ac:dyDescent="0.25">
      <c r="A816" s="64" t="s">
        <v>530</v>
      </c>
      <c r="B816" s="55" t="s">
        <v>531</v>
      </c>
      <c r="C816" s="16" t="s">
        <v>70</v>
      </c>
      <c r="D816" s="52">
        <v>6192</v>
      </c>
      <c r="E816" s="14">
        <f t="shared" si="524"/>
        <v>331.7</v>
      </c>
      <c r="F816" s="14"/>
      <c r="G816" s="14"/>
      <c r="H816" s="136">
        <v>2053859</v>
      </c>
      <c r="I816" s="15"/>
      <c r="J816" s="15"/>
      <c r="K816" s="15"/>
      <c r="L816" s="15"/>
      <c r="M816" s="22"/>
      <c r="N816" s="22"/>
      <c r="O816" s="22">
        <f t="shared" si="517"/>
        <v>18731194</v>
      </c>
      <c r="P816" s="19">
        <f t="shared" si="518"/>
        <v>767979</v>
      </c>
      <c r="Q816" s="19">
        <f t="shared" si="519"/>
        <v>19499173</v>
      </c>
      <c r="R816" s="6">
        <f t="shared" si="520"/>
        <v>136494</v>
      </c>
      <c r="S816" s="6"/>
      <c r="T816" s="6"/>
      <c r="U816" s="126">
        <f t="shared" si="521"/>
        <v>95106</v>
      </c>
      <c r="V816" s="126">
        <f t="shared" si="522"/>
        <v>21828</v>
      </c>
      <c r="W816" s="6"/>
      <c r="X816" s="6"/>
      <c r="Y816" s="6"/>
      <c r="Z816" s="6"/>
      <c r="AA816" s="19">
        <f t="shared" si="523"/>
        <v>19752601</v>
      </c>
      <c r="AB816" s="19">
        <f t="shared" si="516"/>
        <v>21285798</v>
      </c>
      <c r="AC816" s="15">
        <f>AB816/D816</f>
        <v>3437.63</v>
      </c>
      <c r="AD816" s="15">
        <f>AC816*D816</f>
        <v>21285804.960000001</v>
      </c>
      <c r="AE816" s="25"/>
      <c r="AF816" s="157">
        <f t="shared" si="425"/>
        <v>6.96</v>
      </c>
    </row>
    <row r="817" spans="1:32" s="43" customFormat="1" x14ac:dyDescent="0.25">
      <c r="A817" s="64" t="s">
        <v>532</v>
      </c>
      <c r="B817" s="55" t="s">
        <v>533</v>
      </c>
      <c r="C817" s="16" t="s">
        <v>468</v>
      </c>
      <c r="D817" s="52">
        <v>1145</v>
      </c>
      <c r="E817" s="14">
        <f t="shared" si="524"/>
        <v>197.61</v>
      </c>
      <c r="F817" s="14"/>
      <c r="G817" s="14"/>
      <c r="H817" s="136">
        <v>226262</v>
      </c>
      <c r="I817" s="15"/>
      <c r="J817" s="15"/>
      <c r="K817" s="15"/>
      <c r="L817" s="15"/>
      <c r="M817" s="22"/>
      <c r="N817" s="22"/>
      <c r="O817" s="22">
        <f t="shared" si="517"/>
        <v>2063509</v>
      </c>
      <c r="P817" s="19">
        <f t="shared" si="518"/>
        <v>84604</v>
      </c>
      <c r="Q817" s="19">
        <f t="shared" si="519"/>
        <v>2148113</v>
      </c>
      <c r="R817" s="6">
        <f t="shared" si="520"/>
        <v>15037</v>
      </c>
      <c r="S817" s="6"/>
      <c r="T817" s="6"/>
      <c r="U817" s="126">
        <f t="shared" si="521"/>
        <v>10477</v>
      </c>
      <c r="V817" s="126">
        <f t="shared" si="522"/>
        <v>2405</v>
      </c>
      <c r="W817" s="6"/>
      <c r="X817" s="6"/>
      <c r="Y817" s="6"/>
      <c r="Z817" s="6"/>
      <c r="AA817" s="19">
        <f t="shared" si="523"/>
        <v>2176032</v>
      </c>
      <c r="AB817" s="19">
        <f t="shared" si="516"/>
        <v>2344936</v>
      </c>
      <c r="AC817" s="15">
        <f>AB817/D817</f>
        <v>2047.98</v>
      </c>
      <c r="AD817" s="15">
        <f>AC817*D817</f>
        <v>2344937.1</v>
      </c>
      <c r="AE817" s="25"/>
      <c r="AF817" s="157">
        <f t="shared" si="425"/>
        <v>1.1000000000000001</v>
      </c>
    </row>
    <row r="818" spans="1:32" s="43" customFormat="1" x14ac:dyDescent="0.25">
      <c r="A818" s="23" t="s">
        <v>534</v>
      </c>
      <c r="B818" s="17" t="s">
        <v>535</v>
      </c>
      <c r="C818" s="24"/>
      <c r="D818" s="13"/>
      <c r="E818" s="14"/>
      <c r="F818" s="14"/>
      <c r="G818" s="14"/>
      <c r="H818" s="36"/>
      <c r="I818" s="15"/>
      <c r="J818" s="15"/>
      <c r="K818" s="15"/>
      <c r="L818" s="15"/>
      <c r="M818" s="22"/>
      <c r="N818" s="22"/>
      <c r="O818" s="22"/>
      <c r="P818" s="19"/>
      <c r="Q818" s="19"/>
      <c r="R818" s="6"/>
      <c r="S818" s="6"/>
      <c r="T818" s="6"/>
      <c r="U818" s="126"/>
      <c r="V818" s="126"/>
      <c r="W818" s="6"/>
      <c r="X818" s="6"/>
      <c r="Y818" s="6"/>
      <c r="Z818" s="6"/>
      <c r="AA818" s="19"/>
      <c r="AB818" s="19"/>
      <c r="AC818" s="15"/>
      <c r="AD818" s="15"/>
      <c r="AE818" s="25"/>
      <c r="AF818" s="157">
        <f t="shared" si="425"/>
        <v>0</v>
      </c>
    </row>
    <row r="819" spans="1:32" s="43" customFormat="1" ht="25.5" x14ac:dyDescent="0.25">
      <c r="A819" s="64" t="s">
        <v>536</v>
      </c>
      <c r="B819" s="55" t="s">
        <v>537</v>
      </c>
      <c r="C819" s="16" t="s">
        <v>72</v>
      </c>
      <c r="D819" s="52">
        <v>2980</v>
      </c>
      <c r="E819" s="14">
        <f>H819/D819</f>
        <v>62.59</v>
      </c>
      <c r="F819" s="14"/>
      <c r="G819" s="14"/>
      <c r="H819" s="136">
        <v>186520</v>
      </c>
      <c r="I819" s="15"/>
      <c r="J819" s="15"/>
      <c r="K819" s="15"/>
      <c r="L819" s="15"/>
      <c r="M819" s="22"/>
      <c r="N819" s="22"/>
      <c r="O819" s="22">
        <f t="shared" si="517"/>
        <v>1701062</v>
      </c>
      <c r="P819" s="19">
        <f t="shared" si="518"/>
        <v>69744</v>
      </c>
      <c r="Q819" s="19">
        <f t="shared" si="519"/>
        <v>1770806</v>
      </c>
      <c r="R819" s="6">
        <f t="shared" si="520"/>
        <v>12396</v>
      </c>
      <c r="S819" s="6"/>
      <c r="T819" s="6"/>
      <c r="U819" s="126">
        <f t="shared" si="521"/>
        <v>8637</v>
      </c>
      <c r="V819" s="126">
        <f t="shared" si="522"/>
        <v>1982</v>
      </c>
      <c r="W819" s="6"/>
      <c r="X819" s="6"/>
      <c r="Y819" s="6"/>
      <c r="Z819" s="6"/>
      <c r="AA819" s="19">
        <f t="shared" si="523"/>
        <v>1793821</v>
      </c>
      <c r="AB819" s="19">
        <f t="shared" si="516"/>
        <v>1933057</v>
      </c>
      <c r="AC819" s="15">
        <f>AB819/D819</f>
        <v>648.67999999999995</v>
      </c>
      <c r="AD819" s="15">
        <f>AC819*D819</f>
        <v>1933066.4</v>
      </c>
      <c r="AE819" s="25"/>
      <c r="AF819" s="157">
        <f t="shared" si="425"/>
        <v>9.4</v>
      </c>
    </row>
    <row r="820" spans="1:32" s="43" customFormat="1" ht="25.5" x14ac:dyDescent="0.25">
      <c r="A820" s="64" t="s">
        <v>538</v>
      </c>
      <c r="B820" s="55" t="s">
        <v>539</v>
      </c>
      <c r="C820" s="16" t="s">
        <v>72</v>
      </c>
      <c r="D820" s="52">
        <v>2980</v>
      </c>
      <c r="E820" s="14">
        <f t="shared" si="524"/>
        <v>92.61</v>
      </c>
      <c r="F820" s="14"/>
      <c r="G820" s="14"/>
      <c r="H820" s="136">
        <v>275964</v>
      </c>
      <c r="I820" s="15"/>
      <c r="J820" s="15"/>
      <c r="K820" s="15"/>
      <c r="L820" s="15"/>
      <c r="M820" s="22"/>
      <c r="N820" s="22"/>
      <c r="O820" s="22">
        <f t="shared" si="517"/>
        <v>2516792</v>
      </c>
      <c r="P820" s="19">
        <f t="shared" si="518"/>
        <v>103188</v>
      </c>
      <c r="Q820" s="19">
        <f t="shared" si="519"/>
        <v>2619980</v>
      </c>
      <c r="R820" s="6">
        <f t="shared" si="520"/>
        <v>18340</v>
      </c>
      <c r="S820" s="6"/>
      <c r="T820" s="6"/>
      <c r="U820" s="126">
        <f t="shared" si="521"/>
        <v>12779</v>
      </c>
      <c r="V820" s="126">
        <f t="shared" si="522"/>
        <v>2933</v>
      </c>
      <c r="W820" s="6"/>
      <c r="X820" s="6"/>
      <c r="Y820" s="6"/>
      <c r="Z820" s="6"/>
      <c r="AA820" s="19">
        <f t="shared" si="523"/>
        <v>2654032</v>
      </c>
      <c r="AB820" s="19">
        <f t="shared" si="516"/>
        <v>2860038</v>
      </c>
      <c r="AC820" s="15">
        <f>AB820/D820</f>
        <v>959.74</v>
      </c>
      <c r="AD820" s="15">
        <f>AC820*D820</f>
        <v>2860025.2</v>
      </c>
      <c r="AE820" s="25"/>
      <c r="AF820" s="157">
        <f t="shared" si="425"/>
        <v>-12.8</v>
      </c>
    </row>
    <row r="821" spans="1:32" s="43" customFormat="1" x14ac:dyDescent="0.25">
      <c r="A821" s="64" t="s">
        <v>540</v>
      </c>
      <c r="B821" s="55" t="s">
        <v>470</v>
      </c>
      <c r="C821" s="16" t="s">
        <v>468</v>
      </c>
      <c r="D821" s="52">
        <v>1340</v>
      </c>
      <c r="E821" s="14">
        <f t="shared" si="524"/>
        <v>120.54</v>
      </c>
      <c r="F821" s="14"/>
      <c r="G821" s="14"/>
      <c r="H821" s="136">
        <v>161520</v>
      </c>
      <c r="I821" s="15"/>
      <c r="J821" s="15"/>
      <c r="K821" s="15"/>
      <c r="L821" s="15"/>
      <c r="M821" s="22"/>
      <c r="N821" s="22"/>
      <c r="O821" s="22">
        <f t="shared" si="517"/>
        <v>1473062</v>
      </c>
      <c r="P821" s="19">
        <f t="shared" si="518"/>
        <v>60396</v>
      </c>
      <c r="Q821" s="19">
        <f t="shared" si="519"/>
        <v>1533458</v>
      </c>
      <c r="R821" s="6">
        <f t="shared" si="520"/>
        <v>10734</v>
      </c>
      <c r="S821" s="6"/>
      <c r="T821" s="6"/>
      <c r="U821" s="126">
        <f t="shared" si="521"/>
        <v>7479</v>
      </c>
      <c r="V821" s="126">
        <f t="shared" si="522"/>
        <v>1717</v>
      </c>
      <c r="W821" s="6"/>
      <c r="X821" s="6"/>
      <c r="Y821" s="6"/>
      <c r="Z821" s="6"/>
      <c r="AA821" s="19">
        <f t="shared" si="523"/>
        <v>1553388</v>
      </c>
      <c r="AB821" s="19">
        <f t="shared" si="516"/>
        <v>1673962</v>
      </c>
      <c r="AC821" s="15">
        <f>AB821/D821</f>
        <v>1249.23</v>
      </c>
      <c r="AD821" s="15">
        <f>AC821*D821</f>
        <v>1673968.2</v>
      </c>
      <c r="AE821" s="25"/>
      <c r="AF821" s="157">
        <f t="shared" si="425"/>
        <v>6.2</v>
      </c>
    </row>
    <row r="822" spans="1:32" s="43" customFormat="1" x14ac:dyDescent="0.25">
      <c r="A822" s="23" t="s">
        <v>541</v>
      </c>
      <c r="B822" s="17" t="s">
        <v>542</v>
      </c>
      <c r="C822" s="24"/>
      <c r="D822" s="13"/>
      <c r="E822" s="14"/>
      <c r="F822" s="14"/>
      <c r="G822" s="14"/>
      <c r="H822" s="36"/>
      <c r="I822" s="15"/>
      <c r="J822" s="15"/>
      <c r="K822" s="15"/>
      <c r="L822" s="15"/>
      <c r="M822" s="22"/>
      <c r="N822" s="22"/>
      <c r="O822" s="22"/>
      <c r="P822" s="19"/>
      <c r="Q822" s="19"/>
      <c r="R822" s="6"/>
      <c r="S822" s="6"/>
      <c r="T822" s="6"/>
      <c r="U822" s="126"/>
      <c r="V822" s="126"/>
      <c r="W822" s="6"/>
      <c r="X822" s="6"/>
      <c r="Y822" s="6"/>
      <c r="Z822" s="6"/>
      <c r="AA822" s="19"/>
      <c r="AB822" s="19"/>
      <c r="AC822" s="15"/>
      <c r="AD822" s="15"/>
      <c r="AE822" s="25"/>
      <c r="AF822" s="157">
        <f t="shared" si="425"/>
        <v>0</v>
      </c>
    </row>
    <row r="823" spans="1:32" s="43" customFormat="1" x14ac:dyDescent="0.25">
      <c r="A823" s="64" t="s">
        <v>543</v>
      </c>
      <c r="B823" s="55" t="s">
        <v>544</v>
      </c>
      <c r="C823" s="16" t="s">
        <v>67</v>
      </c>
      <c r="D823" s="52">
        <v>4</v>
      </c>
      <c r="E823" s="14">
        <f t="shared" ref="E823" si="525">H823/D823</f>
        <v>3197.5</v>
      </c>
      <c r="F823" s="14"/>
      <c r="G823" s="14"/>
      <c r="H823" s="136">
        <v>12790</v>
      </c>
      <c r="I823" s="15"/>
      <c r="J823" s="15"/>
      <c r="K823" s="15"/>
      <c r="L823" s="15"/>
      <c r="M823" s="22"/>
      <c r="N823" s="22"/>
      <c r="O823" s="22">
        <f t="shared" si="517"/>
        <v>116645</v>
      </c>
      <c r="P823" s="19">
        <f t="shared" si="518"/>
        <v>4782</v>
      </c>
      <c r="Q823" s="19">
        <f t="shared" si="519"/>
        <v>121427</v>
      </c>
      <c r="R823" s="6">
        <f t="shared" si="520"/>
        <v>850</v>
      </c>
      <c r="S823" s="6"/>
      <c r="T823" s="6"/>
      <c r="U823" s="126">
        <f t="shared" si="521"/>
        <v>592</v>
      </c>
      <c r="V823" s="126">
        <f t="shared" si="522"/>
        <v>136</v>
      </c>
      <c r="W823" s="6"/>
      <c r="X823" s="6"/>
      <c r="Y823" s="6"/>
      <c r="Z823" s="6"/>
      <c r="AA823" s="19">
        <f t="shared" si="523"/>
        <v>123005</v>
      </c>
      <c r="AB823" s="19">
        <f t="shared" si="516"/>
        <v>132553</v>
      </c>
      <c r="AC823" s="15">
        <f t="shared" ref="AC823:AC831" si="526">AB823/D823</f>
        <v>33138.25</v>
      </c>
      <c r="AD823" s="15">
        <f t="shared" ref="AD823:AD831" si="527">AC823*D823</f>
        <v>132553</v>
      </c>
      <c r="AE823" s="25"/>
      <c r="AF823" s="157">
        <f t="shared" si="425"/>
        <v>0</v>
      </c>
    </row>
    <row r="824" spans="1:32" s="43" customFormat="1" x14ac:dyDescent="0.25">
      <c r="A824" s="64" t="s">
        <v>545</v>
      </c>
      <c r="B824" s="55" t="s">
        <v>546</v>
      </c>
      <c r="C824" s="16" t="s">
        <v>67</v>
      </c>
      <c r="D824" s="52">
        <v>14</v>
      </c>
      <c r="E824" s="14">
        <f>H824/D824</f>
        <v>54819.57</v>
      </c>
      <c r="F824" s="14"/>
      <c r="G824" s="14"/>
      <c r="H824" s="136">
        <v>767474</v>
      </c>
      <c r="I824" s="15"/>
      <c r="J824" s="15"/>
      <c r="K824" s="15"/>
      <c r="L824" s="15"/>
      <c r="M824" s="22"/>
      <c r="N824" s="22"/>
      <c r="O824" s="22">
        <f t="shared" si="517"/>
        <v>6999363</v>
      </c>
      <c r="P824" s="19">
        <f t="shared" si="518"/>
        <v>286974</v>
      </c>
      <c r="Q824" s="19">
        <f t="shared" si="519"/>
        <v>7286337</v>
      </c>
      <c r="R824" s="6">
        <f t="shared" si="520"/>
        <v>51004</v>
      </c>
      <c r="S824" s="6"/>
      <c r="T824" s="6"/>
      <c r="U824" s="126">
        <f t="shared" si="521"/>
        <v>35539</v>
      </c>
      <c r="V824" s="126">
        <f t="shared" si="522"/>
        <v>8157</v>
      </c>
      <c r="W824" s="6"/>
      <c r="X824" s="6"/>
      <c r="Y824" s="6"/>
      <c r="Z824" s="6"/>
      <c r="AA824" s="19">
        <f t="shared" si="523"/>
        <v>7381037</v>
      </c>
      <c r="AB824" s="19">
        <f t="shared" si="516"/>
        <v>7953953</v>
      </c>
      <c r="AC824" s="15">
        <f t="shared" si="526"/>
        <v>568139.5</v>
      </c>
      <c r="AD824" s="15">
        <f t="shared" si="527"/>
        <v>7953953</v>
      </c>
      <c r="AE824" s="25"/>
      <c r="AF824" s="157">
        <f t="shared" si="425"/>
        <v>0</v>
      </c>
    </row>
    <row r="825" spans="1:32" s="43" customFormat="1" x14ac:dyDescent="0.25">
      <c r="A825" s="64" t="s">
        <v>547</v>
      </c>
      <c r="B825" s="55" t="s">
        <v>548</v>
      </c>
      <c r="C825" s="16" t="s">
        <v>67</v>
      </c>
      <c r="D825" s="52">
        <v>50</v>
      </c>
      <c r="E825" s="14">
        <f t="shared" ref="E825:E830" si="528">H825/D825</f>
        <v>3487.28</v>
      </c>
      <c r="F825" s="14"/>
      <c r="G825" s="14"/>
      <c r="H825" s="136">
        <v>174364</v>
      </c>
      <c r="I825" s="15"/>
      <c r="J825" s="15"/>
      <c r="K825" s="15"/>
      <c r="L825" s="15"/>
      <c r="M825" s="22"/>
      <c r="N825" s="22"/>
      <c r="O825" s="22">
        <f t="shared" si="517"/>
        <v>1590200</v>
      </c>
      <c r="P825" s="19">
        <f t="shared" si="518"/>
        <v>65198</v>
      </c>
      <c r="Q825" s="19">
        <f t="shared" si="519"/>
        <v>1655398</v>
      </c>
      <c r="R825" s="6">
        <f t="shared" si="520"/>
        <v>11588</v>
      </c>
      <c r="S825" s="6"/>
      <c r="T825" s="6"/>
      <c r="U825" s="126">
        <f t="shared" si="521"/>
        <v>8074</v>
      </c>
      <c r="V825" s="126">
        <f t="shared" si="522"/>
        <v>1853</v>
      </c>
      <c r="W825" s="6"/>
      <c r="X825" s="6"/>
      <c r="Y825" s="6"/>
      <c r="Z825" s="6"/>
      <c r="AA825" s="19">
        <f t="shared" si="523"/>
        <v>1676913</v>
      </c>
      <c r="AB825" s="19">
        <f t="shared" si="516"/>
        <v>1807075</v>
      </c>
      <c r="AC825" s="15">
        <f t="shared" si="526"/>
        <v>36141.5</v>
      </c>
      <c r="AD825" s="15">
        <f t="shared" si="527"/>
        <v>1807075</v>
      </c>
      <c r="AE825" s="25"/>
      <c r="AF825" s="157">
        <f t="shared" si="425"/>
        <v>0</v>
      </c>
    </row>
    <row r="826" spans="1:32" s="43" customFormat="1" x14ac:dyDescent="0.25">
      <c r="A826" s="64" t="s">
        <v>549</v>
      </c>
      <c r="B826" s="55" t="s">
        <v>550</v>
      </c>
      <c r="C826" s="16" t="s">
        <v>67</v>
      </c>
      <c r="D826" s="52">
        <v>30</v>
      </c>
      <c r="E826" s="14">
        <f t="shared" si="528"/>
        <v>2055.77</v>
      </c>
      <c r="F826" s="14"/>
      <c r="G826" s="14"/>
      <c r="H826" s="136">
        <v>61673</v>
      </c>
      <c r="I826" s="15"/>
      <c r="J826" s="15"/>
      <c r="K826" s="15"/>
      <c r="L826" s="15"/>
      <c r="M826" s="22"/>
      <c r="N826" s="22"/>
      <c r="O826" s="22">
        <f t="shared" si="517"/>
        <v>562458</v>
      </c>
      <c r="P826" s="19">
        <f t="shared" si="518"/>
        <v>23061</v>
      </c>
      <c r="Q826" s="19">
        <f t="shared" si="519"/>
        <v>585519</v>
      </c>
      <c r="R826" s="6">
        <f t="shared" si="520"/>
        <v>4099</v>
      </c>
      <c r="S826" s="6"/>
      <c r="T826" s="6"/>
      <c r="U826" s="126">
        <f t="shared" si="521"/>
        <v>2856</v>
      </c>
      <c r="V826" s="126">
        <f t="shared" si="522"/>
        <v>655</v>
      </c>
      <c r="W826" s="6"/>
      <c r="X826" s="6"/>
      <c r="Y826" s="6"/>
      <c r="Z826" s="6"/>
      <c r="AA826" s="19">
        <f t="shared" si="523"/>
        <v>593129</v>
      </c>
      <c r="AB826" s="19">
        <f t="shared" si="516"/>
        <v>639168</v>
      </c>
      <c r="AC826" s="15">
        <f t="shared" si="526"/>
        <v>21305.599999999999</v>
      </c>
      <c r="AD826" s="15">
        <f t="shared" si="527"/>
        <v>639168</v>
      </c>
      <c r="AE826" s="25"/>
      <c r="AF826" s="157">
        <f t="shared" si="425"/>
        <v>0</v>
      </c>
    </row>
    <row r="827" spans="1:32" s="43" customFormat="1" x14ac:dyDescent="0.25">
      <c r="A827" s="64" t="s">
        <v>551</v>
      </c>
      <c r="B827" s="55" t="s">
        <v>552</v>
      </c>
      <c r="C827" s="16" t="s">
        <v>67</v>
      </c>
      <c r="D827" s="52">
        <v>6</v>
      </c>
      <c r="E827" s="14">
        <f t="shared" si="528"/>
        <v>3515</v>
      </c>
      <c r="F827" s="14"/>
      <c r="G827" s="14"/>
      <c r="H827" s="136">
        <v>21090</v>
      </c>
      <c r="I827" s="15"/>
      <c r="J827" s="15"/>
      <c r="K827" s="15"/>
      <c r="L827" s="15"/>
      <c r="M827" s="22"/>
      <c r="N827" s="22"/>
      <c r="O827" s="22">
        <f t="shared" si="517"/>
        <v>192341</v>
      </c>
      <c r="P827" s="19">
        <f t="shared" si="518"/>
        <v>7886</v>
      </c>
      <c r="Q827" s="19">
        <f t="shared" si="519"/>
        <v>200227</v>
      </c>
      <c r="R827" s="6">
        <f t="shared" si="520"/>
        <v>1402</v>
      </c>
      <c r="S827" s="6"/>
      <c r="T827" s="6"/>
      <c r="U827" s="126">
        <f t="shared" si="521"/>
        <v>977</v>
      </c>
      <c r="V827" s="126">
        <f t="shared" si="522"/>
        <v>224</v>
      </c>
      <c r="W827" s="6"/>
      <c r="X827" s="6"/>
      <c r="Y827" s="6"/>
      <c r="Z827" s="6"/>
      <c r="AA827" s="19">
        <f t="shared" si="523"/>
        <v>202830</v>
      </c>
      <c r="AB827" s="19">
        <f t="shared" si="516"/>
        <v>218574</v>
      </c>
      <c r="AC827" s="15">
        <f t="shared" si="526"/>
        <v>36429</v>
      </c>
      <c r="AD827" s="15">
        <f t="shared" si="527"/>
        <v>218574</v>
      </c>
      <c r="AE827" s="25"/>
      <c r="AF827" s="157">
        <f t="shared" si="425"/>
        <v>0</v>
      </c>
    </row>
    <row r="828" spans="1:32" s="43" customFormat="1" x14ac:dyDescent="0.25">
      <c r="A828" s="64" t="s">
        <v>553</v>
      </c>
      <c r="B828" s="55" t="s">
        <v>554</v>
      </c>
      <c r="C828" s="16" t="s">
        <v>72</v>
      </c>
      <c r="D828" s="52">
        <v>173</v>
      </c>
      <c r="E828" s="14">
        <f t="shared" si="528"/>
        <v>278.39</v>
      </c>
      <c r="F828" s="14"/>
      <c r="G828" s="14"/>
      <c r="H828" s="136">
        <v>48162</v>
      </c>
      <c r="I828" s="15"/>
      <c r="J828" s="15"/>
      <c r="K828" s="15"/>
      <c r="L828" s="15"/>
      <c r="M828" s="22"/>
      <c r="N828" s="22"/>
      <c r="O828" s="22">
        <f t="shared" si="517"/>
        <v>439237</v>
      </c>
      <c r="P828" s="19">
        <f t="shared" si="518"/>
        <v>18009</v>
      </c>
      <c r="Q828" s="19">
        <f t="shared" si="519"/>
        <v>457246</v>
      </c>
      <c r="R828" s="6">
        <f t="shared" si="520"/>
        <v>3201</v>
      </c>
      <c r="S828" s="6"/>
      <c r="T828" s="6"/>
      <c r="U828" s="126">
        <f t="shared" si="521"/>
        <v>2230</v>
      </c>
      <c r="V828" s="126">
        <f t="shared" si="522"/>
        <v>512</v>
      </c>
      <c r="W828" s="6"/>
      <c r="X828" s="6"/>
      <c r="Y828" s="6"/>
      <c r="Z828" s="6"/>
      <c r="AA828" s="19">
        <f t="shared" si="523"/>
        <v>463189</v>
      </c>
      <c r="AB828" s="19">
        <f t="shared" si="516"/>
        <v>499142</v>
      </c>
      <c r="AC828" s="15">
        <f t="shared" si="526"/>
        <v>2885.21</v>
      </c>
      <c r="AD828" s="15">
        <f t="shared" si="527"/>
        <v>499141.33</v>
      </c>
      <c r="AE828" s="25"/>
      <c r="AF828" s="157">
        <f t="shared" si="425"/>
        <v>-0.67</v>
      </c>
    </row>
    <row r="829" spans="1:32" s="43" customFormat="1" x14ac:dyDescent="0.25">
      <c r="A829" s="64" t="s">
        <v>555</v>
      </c>
      <c r="B829" s="55" t="s">
        <v>556</v>
      </c>
      <c r="C829" s="16" t="s">
        <v>67</v>
      </c>
      <c r="D829" s="52">
        <f>16+8</f>
        <v>24</v>
      </c>
      <c r="E829" s="14">
        <f t="shared" si="528"/>
        <v>979.54</v>
      </c>
      <c r="F829" s="14"/>
      <c r="G829" s="14"/>
      <c r="H829" s="136">
        <v>23509</v>
      </c>
      <c r="I829" s="15"/>
      <c r="J829" s="15"/>
      <c r="K829" s="15"/>
      <c r="L829" s="15"/>
      <c r="M829" s="22"/>
      <c r="N829" s="22"/>
      <c r="O829" s="22">
        <f t="shared" si="517"/>
        <v>214402</v>
      </c>
      <c r="P829" s="19">
        <f t="shared" si="518"/>
        <v>8790</v>
      </c>
      <c r="Q829" s="19">
        <f t="shared" si="519"/>
        <v>223192</v>
      </c>
      <c r="R829" s="6">
        <f t="shared" si="520"/>
        <v>1562</v>
      </c>
      <c r="S829" s="6"/>
      <c r="T829" s="6"/>
      <c r="U829" s="126">
        <f t="shared" si="521"/>
        <v>1089</v>
      </c>
      <c r="V829" s="126">
        <f t="shared" si="522"/>
        <v>250</v>
      </c>
      <c r="W829" s="6"/>
      <c r="X829" s="6"/>
      <c r="Y829" s="6"/>
      <c r="Z829" s="6"/>
      <c r="AA829" s="19">
        <f t="shared" si="523"/>
        <v>226093</v>
      </c>
      <c r="AB829" s="19">
        <f t="shared" si="516"/>
        <v>243642</v>
      </c>
      <c r="AC829" s="15">
        <f t="shared" si="526"/>
        <v>10151.75</v>
      </c>
      <c r="AD829" s="15">
        <f t="shared" si="527"/>
        <v>243642</v>
      </c>
      <c r="AE829" s="25"/>
      <c r="AF829" s="157">
        <f t="shared" si="425"/>
        <v>0</v>
      </c>
    </row>
    <row r="830" spans="1:32" s="43" customFormat="1" x14ac:dyDescent="0.25">
      <c r="A830" s="64" t="s">
        <v>557</v>
      </c>
      <c r="B830" s="55" t="s">
        <v>558</v>
      </c>
      <c r="C830" s="16" t="s">
        <v>67</v>
      </c>
      <c r="D830" s="52">
        <f>6606+21945</f>
        <v>28551</v>
      </c>
      <c r="E830" s="14">
        <f t="shared" si="528"/>
        <v>15.46</v>
      </c>
      <c r="F830" s="14"/>
      <c r="G830" s="14"/>
      <c r="H830" s="136">
        <v>441283</v>
      </c>
      <c r="I830" s="15"/>
      <c r="J830" s="15"/>
      <c r="K830" s="15"/>
      <c r="L830" s="15"/>
      <c r="M830" s="22"/>
      <c r="N830" s="22"/>
      <c r="O830" s="22">
        <f t="shared" si="517"/>
        <v>4024501</v>
      </c>
      <c r="P830" s="19">
        <f t="shared" si="518"/>
        <v>165005</v>
      </c>
      <c r="Q830" s="19">
        <f t="shared" si="519"/>
        <v>4189506</v>
      </c>
      <c r="R830" s="6">
        <f t="shared" si="520"/>
        <v>29327</v>
      </c>
      <c r="S830" s="6"/>
      <c r="T830" s="6"/>
      <c r="U830" s="126">
        <f t="shared" si="521"/>
        <v>20434</v>
      </c>
      <c r="V830" s="126">
        <f t="shared" si="522"/>
        <v>4690</v>
      </c>
      <c r="W830" s="6"/>
      <c r="X830" s="6"/>
      <c r="Y830" s="6"/>
      <c r="Z830" s="6"/>
      <c r="AA830" s="19">
        <f t="shared" si="523"/>
        <v>4243957</v>
      </c>
      <c r="AB830" s="19">
        <f t="shared" si="516"/>
        <v>4573373</v>
      </c>
      <c r="AC830" s="15">
        <f t="shared" si="526"/>
        <v>160.18</v>
      </c>
      <c r="AD830" s="15">
        <f t="shared" si="527"/>
        <v>4573299.18</v>
      </c>
      <c r="AE830" s="25"/>
      <c r="AF830" s="157">
        <f t="shared" si="425"/>
        <v>-73.819999999999993</v>
      </c>
    </row>
    <row r="831" spans="1:32" s="43" customFormat="1" x14ac:dyDescent="0.25">
      <c r="A831" s="64" t="s">
        <v>559</v>
      </c>
      <c r="B831" s="55" t="s">
        <v>560</v>
      </c>
      <c r="C831" s="16" t="s">
        <v>72</v>
      </c>
      <c r="D831" s="52">
        <v>7926</v>
      </c>
      <c r="E831" s="14">
        <f>H831/D831</f>
        <v>17.399999999999999</v>
      </c>
      <c r="F831" s="14"/>
      <c r="G831" s="14"/>
      <c r="H831" s="136">
        <v>137935</v>
      </c>
      <c r="I831" s="15"/>
      <c r="J831" s="15"/>
      <c r="K831" s="15"/>
      <c r="L831" s="15"/>
      <c r="M831" s="22"/>
      <c r="N831" s="22"/>
      <c r="O831" s="22">
        <f t="shared" si="517"/>
        <v>1257967</v>
      </c>
      <c r="P831" s="19">
        <f t="shared" si="518"/>
        <v>51577</v>
      </c>
      <c r="Q831" s="19">
        <f t="shared" si="519"/>
        <v>1309544</v>
      </c>
      <c r="R831" s="6">
        <f t="shared" si="520"/>
        <v>9167</v>
      </c>
      <c r="S831" s="6"/>
      <c r="T831" s="6"/>
      <c r="U831" s="126">
        <f t="shared" si="521"/>
        <v>6387</v>
      </c>
      <c r="V831" s="126">
        <f t="shared" si="522"/>
        <v>1466</v>
      </c>
      <c r="W831" s="6"/>
      <c r="X831" s="6"/>
      <c r="Y831" s="6"/>
      <c r="Z831" s="6"/>
      <c r="AA831" s="19">
        <f t="shared" si="523"/>
        <v>1326564</v>
      </c>
      <c r="AB831" s="19">
        <f t="shared" si="516"/>
        <v>1429532</v>
      </c>
      <c r="AC831" s="15">
        <f t="shared" si="526"/>
        <v>180.36</v>
      </c>
      <c r="AD831" s="15">
        <f t="shared" si="527"/>
        <v>1429533.36</v>
      </c>
      <c r="AE831" s="25"/>
      <c r="AF831" s="157">
        <f t="shared" si="425"/>
        <v>1.36</v>
      </c>
    </row>
    <row r="832" spans="1:32" s="4" customFormat="1" ht="25.5" x14ac:dyDescent="0.25">
      <c r="A832" s="23" t="s">
        <v>177</v>
      </c>
      <c r="B832" s="11" t="s">
        <v>170</v>
      </c>
      <c r="C832" s="24"/>
      <c r="D832" s="52"/>
      <c r="E832" s="14"/>
      <c r="F832" s="14"/>
      <c r="G832" s="14"/>
      <c r="H832" s="22"/>
      <c r="I832" s="15"/>
      <c r="J832" s="15"/>
      <c r="K832" s="15"/>
      <c r="L832" s="15"/>
      <c r="M832" s="22"/>
      <c r="N832" s="22"/>
      <c r="O832" s="22"/>
      <c r="P832" s="19"/>
      <c r="Q832" s="19"/>
      <c r="R832" s="6"/>
      <c r="S832" s="6"/>
      <c r="T832" s="6"/>
      <c r="U832" s="6"/>
      <c r="V832" s="6"/>
      <c r="W832" s="6"/>
      <c r="X832" s="6"/>
      <c r="Y832" s="6"/>
      <c r="Z832" s="6"/>
      <c r="AA832" s="19"/>
      <c r="AB832" s="19"/>
      <c r="AC832" s="15"/>
      <c r="AD832" s="15"/>
      <c r="AE832" s="25"/>
      <c r="AF832" s="157">
        <f t="shared" ref="AF832" si="529">AD832-AB832</f>
        <v>0</v>
      </c>
    </row>
    <row r="833" spans="1:32" s="51" customFormat="1" ht="25.5" x14ac:dyDescent="0.25">
      <c r="A833" s="108" t="s">
        <v>179</v>
      </c>
      <c r="B833" s="88" t="s">
        <v>172</v>
      </c>
      <c r="C833" s="169" t="s">
        <v>83</v>
      </c>
      <c r="D833" s="105">
        <v>1</v>
      </c>
      <c r="E833" s="94"/>
      <c r="F833" s="94"/>
      <c r="G833" s="94"/>
      <c r="H833" s="111">
        <v>31434960</v>
      </c>
      <c r="I833" s="20"/>
      <c r="J833" s="20">
        <f>31434.96*1000</f>
        <v>31434960</v>
      </c>
      <c r="K833" s="20" t="s">
        <v>23</v>
      </c>
      <c r="L833" s="20">
        <f>H833-J833</f>
        <v>0</v>
      </c>
      <c r="M833" s="95">
        <v>286686860</v>
      </c>
      <c r="N833" s="50">
        <f>O833-M833</f>
        <v>-25</v>
      </c>
      <c r="O833" s="95">
        <f>H833*9.12</f>
        <v>286686835</v>
      </c>
      <c r="P833" s="50">
        <f>O833*4.1%</f>
        <v>11754160</v>
      </c>
      <c r="Q833" s="50">
        <f>SUM(O833:P833)</f>
        <v>298440995</v>
      </c>
      <c r="R833" s="50">
        <f>Q833*0.7%</f>
        <v>2089087</v>
      </c>
      <c r="S833" s="30"/>
      <c r="T833" s="30"/>
      <c r="U833" s="30"/>
      <c r="V833" s="30"/>
      <c r="W833" s="30"/>
      <c r="X833" s="30"/>
      <c r="Y833" s="30"/>
      <c r="Z833" s="30"/>
      <c r="AA833" s="50">
        <f>SUM(Q833:Z833)</f>
        <v>300530082</v>
      </c>
      <c r="AB833" s="50">
        <f>$AA833*AB$7</f>
        <v>323857227</v>
      </c>
      <c r="AC833" s="20">
        <f>AB833/D833</f>
        <v>323857227</v>
      </c>
      <c r="AD833" s="20">
        <f>AC833*D833</f>
        <v>323857227</v>
      </c>
      <c r="AE833" s="97"/>
      <c r="AF833" s="157">
        <f>AD833-AB833</f>
        <v>0</v>
      </c>
    </row>
    <row r="834" spans="1:32" s="4" customFormat="1" x14ac:dyDescent="0.25">
      <c r="A834" s="23" t="s">
        <v>1337</v>
      </c>
      <c r="B834" s="11" t="s">
        <v>178</v>
      </c>
      <c r="C834" s="24"/>
      <c r="D834" s="52"/>
      <c r="E834" s="14"/>
      <c r="F834" s="14"/>
      <c r="G834" s="14"/>
      <c r="H834" s="22"/>
      <c r="I834" s="15"/>
      <c r="J834" s="15"/>
      <c r="K834" s="15"/>
      <c r="L834" s="15"/>
      <c r="M834" s="22"/>
      <c r="N834" s="22"/>
      <c r="O834" s="22"/>
      <c r="P834" s="19"/>
      <c r="Q834" s="19"/>
      <c r="R834" s="6"/>
      <c r="S834" s="6"/>
      <c r="T834" s="6"/>
      <c r="U834" s="6"/>
      <c r="V834" s="6"/>
      <c r="W834" s="6"/>
      <c r="X834" s="6"/>
      <c r="Y834" s="6"/>
      <c r="Z834" s="6"/>
      <c r="AA834" s="19"/>
      <c r="AB834" s="19"/>
      <c r="AC834" s="15"/>
      <c r="AD834" s="15"/>
      <c r="AE834" s="25"/>
      <c r="AF834" s="157">
        <f t="shared" ref="AF834" si="530">AD834-AB834</f>
        <v>0</v>
      </c>
    </row>
    <row r="835" spans="1:32" s="51" customFormat="1" x14ac:dyDescent="0.25">
      <c r="A835" s="108" t="s">
        <v>1337</v>
      </c>
      <c r="B835" s="88" t="s">
        <v>180</v>
      </c>
      <c r="C835" s="92"/>
      <c r="D835" s="93"/>
      <c r="E835" s="94"/>
      <c r="F835" s="94"/>
      <c r="G835" s="94"/>
      <c r="H835" s="111">
        <v>15714370</v>
      </c>
      <c r="I835" s="20"/>
      <c r="J835" s="20">
        <f>15714.37*1000</f>
        <v>15714370</v>
      </c>
      <c r="K835" s="20" t="s">
        <v>24</v>
      </c>
      <c r="L835" s="20">
        <f>H835-J835</f>
        <v>0</v>
      </c>
      <c r="M835" s="95">
        <v>143315040</v>
      </c>
      <c r="N835" s="50">
        <f>SUM(O836:O840)-M835</f>
        <v>-4</v>
      </c>
      <c r="O835" s="95"/>
      <c r="P835" s="50"/>
      <c r="Q835" s="50"/>
      <c r="R835" s="50"/>
      <c r="S835" s="30"/>
      <c r="T835" s="30"/>
      <c r="U835" s="30"/>
      <c r="V835" s="30"/>
      <c r="W835" s="30"/>
      <c r="X835" s="30"/>
      <c r="Y835" s="30"/>
      <c r="Z835" s="30"/>
      <c r="AA835" s="50"/>
      <c r="AB835" s="50"/>
      <c r="AC835" s="20"/>
      <c r="AD835" s="20"/>
      <c r="AE835" s="97"/>
      <c r="AF835" s="157">
        <f t="shared" si="425"/>
        <v>0</v>
      </c>
    </row>
    <row r="836" spans="1:32" s="43" customFormat="1" x14ac:dyDescent="0.25">
      <c r="A836" s="72" t="s">
        <v>1340</v>
      </c>
      <c r="B836" s="55" t="s">
        <v>181</v>
      </c>
      <c r="C836" s="71" t="s">
        <v>70</v>
      </c>
      <c r="D836" s="52">
        <v>634.79999999999995</v>
      </c>
      <c r="E836" s="73">
        <f>H836/D836</f>
        <v>1687.19</v>
      </c>
      <c r="F836" s="73"/>
      <c r="G836" s="73"/>
      <c r="H836" s="74">
        <v>1071026</v>
      </c>
      <c r="I836" s="15"/>
      <c r="J836" s="15"/>
      <c r="K836" s="15"/>
      <c r="L836" s="15"/>
      <c r="M836" s="74"/>
      <c r="N836" s="74"/>
      <c r="O836" s="74">
        <f>H836*9.12</f>
        <v>9767757</v>
      </c>
      <c r="P836" s="19">
        <f>O836*4.1%</f>
        <v>400478</v>
      </c>
      <c r="Q836" s="19">
        <f>SUM(O836:P836)</f>
        <v>10168235</v>
      </c>
      <c r="R836" s="6">
        <f>Q836*0.63%</f>
        <v>64060</v>
      </c>
      <c r="S836" s="6"/>
      <c r="T836" s="6"/>
      <c r="U836" s="6"/>
      <c r="V836" s="6"/>
      <c r="W836" s="6"/>
      <c r="X836" s="6"/>
      <c r="Y836" s="6"/>
      <c r="Z836" s="6"/>
      <c r="AA836" s="19">
        <f>SUM(Q836:Z836)</f>
        <v>10232295</v>
      </c>
      <c r="AB836" s="19">
        <f>$AA836*AB$7</f>
        <v>11026526</v>
      </c>
      <c r="AC836" s="15">
        <f>AB836/D836</f>
        <v>17370.080000000002</v>
      </c>
      <c r="AD836" s="15">
        <f>AC836*D836</f>
        <v>11026526.779999999</v>
      </c>
      <c r="AE836" s="25"/>
      <c r="AF836" s="157">
        <f t="shared" si="425"/>
        <v>0.78</v>
      </c>
    </row>
    <row r="837" spans="1:32" s="43" customFormat="1" x14ac:dyDescent="0.25">
      <c r="A837" s="72" t="s">
        <v>1341</v>
      </c>
      <c r="B837" s="55" t="s">
        <v>771</v>
      </c>
      <c r="C837" s="71" t="s">
        <v>67</v>
      </c>
      <c r="D837" s="52">
        <v>300</v>
      </c>
      <c r="E837" s="73">
        <f>H837/D837</f>
        <v>3842.87</v>
      </c>
      <c r="F837" s="73"/>
      <c r="G837" s="73"/>
      <c r="H837" s="74">
        <v>1152860</v>
      </c>
      <c r="I837" s="15"/>
      <c r="J837" s="15"/>
      <c r="K837" s="15"/>
      <c r="L837" s="15"/>
      <c r="M837" s="74"/>
      <c r="N837" s="74"/>
      <c r="O837" s="74">
        <f t="shared" ref="O837:O840" si="531">H837*9.12</f>
        <v>10514083</v>
      </c>
      <c r="P837" s="19">
        <f t="shared" ref="P837:P840" si="532">O837*4.1%</f>
        <v>431077</v>
      </c>
      <c r="Q837" s="19">
        <f t="shared" ref="Q837:Q840" si="533">SUM(O837:P837)</f>
        <v>10945160</v>
      </c>
      <c r="R837" s="6">
        <f t="shared" ref="R837:R840" si="534">Q837*0.63%</f>
        <v>68955</v>
      </c>
      <c r="S837" s="6"/>
      <c r="T837" s="6"/>
      <c r="U837" s="6"/>
      <c r="V837" s="6"/>
      <c r="W837" s="6"/>
      <c r="X837" s="6"/>
      <c r="Y837" s="6"/>
      <c r="Z837" s="6"/>
      <c r="AA837" s="19">
        <f t="shared" ref="AA837:AA840" si="535">SUM(Q837:Z837)</f>
        <v>11014115</v>
      </c>
      <c r="AB837" s="19">
        <f t="shared" ref="AB837:AB840" si="536">$AA837*AB$7</f>
        <v>11869031</v>
      </c>
      <c r="AC837" s="15">
        <f>AB837/D837</f>
        <v>39563.440000000002</v>
      </c>
      <c r="AD837" s="15">
        <f>AC837*D837</f>
        <v>11869032</v>
      </c>
      <c r="AE837" s="25"/>
      <c r="AF837" s="157">
        <f t="shared" si="425"/>
        <v>1</v>
      </c>
    </row>
    <row r="838" spans="1:32" s="43" customFormat="1" x14ac:dyDescent="0.25">
      <c r="A838" s="72" t="s">
        <v>1342</v>
      </c>
      <c r="B838" s="55" t="s">
        <v>772</v>
      </c>
      <c r="C838" s="71" t="s">
        <v>72</v>
      </c>
      <c r="D838" s="52">
        <v>6848.82</v>
      </c>
      <c r="E838" s="73">
        <f t="shared" ref="E838:E840" si="537">H838/D838</f>
        <v>1893.15</v>
      </c>
      <c r="F838" s="73"/>
      <c r="G838" s="73"/>
      <c r="H838" s="74">
        <v>12965822</v>
      </c>
      <c r="I838" s="15"/>
      <c r="J838" s="15"/>
      <c r="K838" s="15"/>
      <c r="L838" s="15"/>
      <c r="M838" s="74"/>
      <c r="N838" s="74"/>
      <c r="O838" s="74">
        <f t="shared" si="531"/>
        <v>118248297</v>
      </c>
      <c r="P838" s="19">
        <f t="shared" si="532"/>
        <v>4848180</v>
      </c>
      <c r="Q838" s="19">
        <f t="shared" si="533"/>
        <v>123096477</v>
      </c>
      <c r="R838" s="6">
        <f t="shared" si="534"/>
        <v>775508</v>
      </c>
      <c r="S838" s="6"/>
      <c r="T838" s="6"/>
      <c r="U838" s="6"/>
      <c r="V838" s="6"/>
      <c r="W838" s="6"/>
      <c r="X838" s="6"/>
      <c r="Y838" s="6"/>
      <c r="Z838" s="6"/>
      <c r="AA838" s="19">
        <f t="shared" si="535"/>
        <v>123871985</v>
      </c>
      <c r="AB838" s="19">
        <f t="shared" si="536"/>
        <v>133486928</v>
      </c>
      <c r="AC838" s="15">
        <f>AB838/D838</f>
        <v>19490.5</v>
      </c>
      <c r="AD838" s="15">
        <f>AC838*D838</f>
        <v>133486926.20999999</v>
      </c>
      <c r="AE838" s="25"/>
      <c r="AF838" s="157">
        <f t="shared" si="425"/>
        <v>-1.79</v>
      </c>
    </row>
    <row r="839" spans="1:32" s="43" customFormat="1" ht="25.5" x14ac:dyDescent="0.25">
      <c r="A839" s="72" t="s">
        <v>1343</v>
      </c>
      <c r="B839" s="55" t="s">
        <v>773</v>
      </c>
      <c r="C839" s="71" t="s">
        <v>72</v>
      </c>
      <c r="D839" s="52">
        <v>249.48</v>
      </c>
      <c r="E839" s="73">
        <f t="shared" si="537"/>
        <v>1926.03</v>
      </c>
      <c r="F839" s="73"/>
      <c r="G839" s="73"/>
      <c r="H839" s="74">
        <v>480506</v>
      </c>
      <c r="I839" s="15"/>
      <c r="J839" s="15"/>
      <c r="K839" s="15"/>
      <c r="L839" s="15"/>
      <c r="M839" s="74"/>
      <c r="N839" s="74"/>
      <c r="O839" s="74">
        <f t="shared" si="531"/>
        <v>4382215</v>
      </c>
      <c r="P839" s="19">
        <f t="shared" si="532"/>
        <v>179671</v>
      </c>
      <c r="Q839" s="19">
        <f t="shared" si="533"/>
        <v>4561886</v>
      </c>
      <c r="R839" s="6">
        <f t="shared" si="534"/>
        <v>28740</v>
      </c>
      <c r="S839" s="6"/>
      <c r="T839" s="6"/>
      <c r="U839" s="6"/>
      <c r="V839" s="6"/>
      <c r="W839" s="6"/>
      <c r="X839" s="6"/>
      <c r="Y839" s="6"/>
      <c r="Z839" s="6"/>
      <c r="AA839" s="19">
        <f t="shared" si="535"/>
        <v>4590626</v>
      </c>
      <c r="AB839" s="19">
        <f t="shared" si="536"/>
        <v>4946950</v>
      </c>
      <c r="AC839" s="15">
        <f>AB839/D839</f>
        <v>19829.04</v>
      </c>
      <c r="AD839" s="15">
        <f>AC839*D839</f>
        <v>4946948.9000000004</v>
      </c>
      <c r="AE839" s="25"/>
      <c r="AF839" s="157">
        <f t="shared" si="425"/>
        <v>-1.1000000000000001</v>
      </c>
    </row>
    <row r="840" spans="1:32" s="43" customFormat="1" x14ac:dyDescent="0.25">
      <c r="A840" s="72" t="s">
        <v>1344</v>
      </c>
      <c r="B840" s="55" t="s">
        <v>491</v>
      </c>
      <c r="C840" s="71" t="s">
        <v>67</v>
      </c>
      <c r="D840" s="52">
        <v>2</v>
      </c>
      <c r="E840" s="73">
        <f t="shared" si="537"/>
        <v>22077</v>
      </c>
      <c r="F840" s="73"/>
      <c r="G840" s="73"/>
      <c r="H840" s="74">
        <v>44154</v>
      </c>
      <c r="I840" s="15"/>
      <c r="J840" s="15"/>
      <c r="K840" s="15"/>
      <c r="L840" s="15"/>
      <c r="M840" s="74"/>
      <c r="N840" s="74"/>
      <c r="O840" s="74">
        <f t="shared" si="531"/>
        <v>402684</v>
      </c>
      <c r="P840" s="19">
        <f t="shared" si="532"/>
        <v>16510</v>
      </c>
      <c r="Q840" s="19">
        <f t="shared" si="533"/>
        <v>419194</v>
      </c>
      <c r="R840" s="6">
        <f t="shared" si="534"/>
        <v>2641</v>
      </c>
      <c r="S840" s="6"/>
      <c r="T840" s="6"/>
      <c r="U840" s="6"/>
      <c r="V840" s="6"/>
      <c r="W840" s="6"/>
      <c r="X840" s="6"/>
      <c r="Y840" s="6"/>
      <c r="Z840" s="6"/>
      <c r="AA840" s="19">
        <f t="shared" si="535"/>
        <v>421835</v>
      </c>
      <c r="AB840" s="19">
        <f t="shared" si="536"/>
        <v>454578</v>
      </c>
      <c r="AC840" s="15">
        <f>AB840/D840</f>
        <v>227289</v>
      </c>
      <c r="AD840" s="15">
        <f>AC840*D840</f>
        <v>454578</v>
      </c>
      <c r="AE840" s="25"/>
      <c r="AF840" s="157">
        <f t="shared" si="425"/>
        <v>0</v>
      </c>
    </row>
    <row r="841" spans="1:32" s="4" customFormat="1" x14ac:dyDescent="0.25">
      <c r="A841" s="23" t="s">
        <v>1345</v>
      </c>
      <c r="B841" s="11" t="s">
        <v>182</v>
      </c>
      <c r="C841" s="24"/>
      <c r="D841" s="52"/>
      <c r="E841" s="14"/>
      <c r="F841" s="14"/>
      <c r="G841" s="14"/>
      <c r="H841" s="22"/>
      <c r="I841" s="15"/>
      <c r="J841" s="15"/>
      <c r="K841" s="15"/>
      <c r="L841" s="15"/>
      <c r="M841" s="22"/>
      <c r="N841" s="22"/>
      <c r="O841" s="22"/>
      <c r="P841" s="19"/>
      <c r="Q841" s="19"/>
      <c r="R841" s="6"/>
      <c r="S841" s="6"/>
      <c r="T841" s="6"/>
      <c r="U841" s="6"/>
      <c r="V841" s="6"/>
      <c r="W841" s="6"/>
      <c r="X841" s="6"/>
      <c r="Y841" s="6"/>
      <c r="Z841" s="6"/>
      <c r="AA841" s="19"/>
      <c r="AB841" s="19"/>
      <c r="AC841" s="15"/>
      <c r="AD841" s="15"/>
      <c r="AE841" s="25"/>
      <c r="AF841" s="157">
        <f t="shared" si="425"/>
        <v>0</v>
      </c>
    </row>
    <row r="842" spans="1:32" s="91" customFormat="1" x14ac:dyDescent="0.25">
      <c r="A842" s="87" t="s">
        <v>1346</v>
      </c>
      <c r="B842" s="88" t="s">
        <v>183</v>
      </c>
      <c r="C842" s="92"/>
      <c r="D842" s="93"/>
      <c r="E842" s="94"/>
      <c r="F842" s="94"/>
      <c r="G842" s="94"/>
      <c r="H842" s="111">
        <v>25880740</v>
      </c>
      <c r="I842" s="20"/>
      <c r="J842" s="20">
        <f>25880.74*1000</f>
        <v>25880740</v>
      </c>
      <c r="K842" s="20" t="s">
        <v>26</v>
      </c>
      <c r="L842" s="20">
        <f>H842-J842</f>
        <v>0</v>
      </c>
      <c r="M842" s="95">
        <v>236032320</v>
      </c>
      <c r="N842" s="50">
        <f>SUM(O843:O856)-M842</f>
        <v>9</v>
      </c>
      <c r="O842" s="95"/>
      <c r="P842" s="50"/>
      <c r="Q842" s="50"/>
      <c r="R842" s="50"/>
      <c r="S842" s="30"/>
      <c r="T842" s="30"/>
      <c r="U842" s="126"/>
      <c r="V842" s="131"/>
      <c r="W842" s="30"/>
      <c r="X842" s="30"/>
      <c r="Y842" s="30"/>
      <c r="Z842" s="30"/>
      <c r="AA842" s="50"/>
      <c r="AB842" s="50"/>
      <c r="AC842" s="20"/>
      <c r="AD842" s="20"/>
      <c r="AE842" s="97"/>
      <c r="AF842" s="157">
        <f t="shared" si="425"/>
        <v>0</v>
      </c>
    </row>
    <row r="843" spans="1:32" s="4" customFormat="1" x14ac:dyDescent="0.25">
      <c r="A843" s="64" t="s">
        <v>1347</v>
      </c>
      <c r="B843" s="55" t="s">
        <v>571</v>
      </c>
      <c r="C843" s="46" t="s">
        <v>67</v>
      </c>
      <c r="D843" s="47">
        <v>624</v>
      </c>
      <c r="E843" s="45">
        <f t="shared" ref="E843:E856" si="538">H843/D843</f>
        <v>7193.72</v>
      </c>
      <c r="F843" s="45"/>
      <c r="G843" s="45"/>
      <c r="H843" s="44">
        <v>4488879.95</v>
      </c>
      <c r="I843" s="15"/>
      <c r="J843" s="15"/>
      <c r="K843" s="15"/>
      <c r="L843" s="15"/>
      <c r="M843" s="44"/>
      <c r="N843" s="44"/>
      <c r="O843" s="44">
        <f>H843*9.12</f>
        <v>40938585</v>
      </c>
      <c r="P843" s="19">
        <f>O843*4.1%</f>
        <v>1678482</v>
      </c>
      <c r="Q843" s="19">
        <f>SUM(O843:P843)</f>
        <v>42617067</v>
      </c>
      <c r="R843" s="6">
        <f>Q843*0.56%</f>
        <v>238656</v>
      </c>
      <c r="S843" s="6"/>
      <c r="T843" s="6"/>
      <c r="U843" s="126">
        <f>Q843*$U$4</f>
        <v>207862</v>
      </c>
      <c r="V843" s="131">
        <f>Q843*$V$5</f>
        <v>23787</v>
      </c>
      <c r="W843" s="6"/>
      <c r="X843" s="6"/>
      <c r="Y843" s="6"/>
      <c r="Z843" s="6"/>
      <c r="AA843" s="19">
        <f>SUM(Q843:Z843)</f>
        <v>43087372</v>
      </c>
      <c r="AB843" s="19">
        <f>$AA843*AB$7</f>
        <v>46431814</v>
      </c>
      <c r="AC843" s="15">
        <f t="shared" ref="AC843:AC856" si="539">AB843/D843</f>
        <v>74409.960000000006</v>
      </c>
      <c r="AD843" s="15">
        <f t="shared" ref="AD843:AD856" si="540">AC843*D843</f>
        <v>46431815.039999999</v>
      </c>
      <c r="AE843" s="25"/>
      <c r="AF843" s="157">
        <f t="shared" si="425"/>
        <v>1.04</v>
      </c>
    </row>
    <row r="844" spans="1:32" s="4" customFormat="1" x14ac:dyDescent="0.25">
      <c r="A844" s="64" t="s">
        <v>1348</v>
      </c>
      <c r="B844" s="55" t="s">
        <v>572</v>
      </c>
      <c r="C844" s="46" t="s">
        <v>67</v>
      </c>
      <c r="D844" s="47">
        <v>639</v>
      </c>
      <c r="E844" s="45">
        <f t="shared" si="538"/>
        <v>11970.65</v>
      </c>
      <c r="F844" s="45"/>
      <c r="G844" s="45"/>
      <c r="H844" s="44">
        <v>7649244</v>
      </c>
      <c r="I844" s="15"/>
      <c r="J844" s="15"/>
      <c r="K844" s="15"/>
      <c r="L844" s="15"/>
      <c r="M844" s="44"/>
      <c r="N844" s="44"/>
      <c r="O844" s="44">
        <f>H844*9.12</f>
        <v>69761105</v>
      </c>
      <c r="P844" s="19">
        <f>O844*4.1%</f>
        <v>2860205</v>
      </c>
      <c r="Q844" s="19">
        <f>SUM(O844:P844)</f>
        <v>72621310</v>
      </c>
      <c r="R844" s="6">
        <f>Q844*0.56%</f>
        <v>406679</v>
      </c>
      <c r="S844" s="6"/>
      <c r="T844" s="6"/>
      <c r="U844" s="126">
        <f>Q844*$U$4</f>
        <v>354206</v>
      </c>
      <c r="V844" s="131">
        <f>Q844*$V$5</f>
        <v>40534</v>
      </c>
      <c r="W844" s="6"/>
      <c r="X844" s="6"/>
      <c r="Y844" s="6"/>
      <c r="Z844" s="6"/>
      <c r="AA844" s="19">
        <f>SUM(Q844:Z844)</f>
        <v>73422729</v>
      </c>
      <c r="AB844" s="19">
        <f>$AA844*AB$7</f>
        <v>79121801</v>
      </c>
      <c r="AC844" s="15">
        <f t="shared" si="539"/>
        <v>123821.28</v>
      </c>
      <c r="AD844" s="15">
        <f t="shared" si="540"/>
        <v>79121797.920000002</v>
      </c>
      <c r="AE844" s="25"/>
      <c r="AF844" s="157">
        <f t="shared" si="425"/>
        <v>-3.08</v>
      </c>
    </row>
    <row r="845" spans="1:32" s="4" customFormat="1" x14ac:dyDescent="0.25">
      <c r="A845" s="64" t="s">
        <v>1349</v>
      </c>
      <c r="B845" s="55" t="s">
        <v>573</v>
      </c>
      <c r="C845" s="46" t="s">
        <v>67</v>
      </c>
      <c r="D845" s="47">
        <v>660</v>
      </c>
      <c r="E845" s="45">
        <f t="shared" si="538"/>
        <v>5932.77</v>
      </c>
      <c r="F845" s="45"/>
      <c r="G845" s="45"/>
      <c r="H845" s="44">
        <v>3915629.68</v>
      </c>
      <c r="I845" s="15"/>
      <c r="J845" s="15"/>
      <c r="K845" s="15"/>
      <c r="L845" s="15"/>
      <c r="M845" s="44"/>
      <c r="N845" s="44"/>
      <c r="O845" s="44">
        <f t="shared" ref="O845:O856" si="541">H845*9.12</f>
        <v>35710543</v>
      </c>
      <c r="P845" s="19">
        <f t="shared" ref="P845:P856" si="542">O845*4.1%</f>
        <v>1464132</v>
      </c>
      <c r="Q845" s="19">
        <f t="shared" ref="Q845:Q856" si="543">SUM(O845:P845)</f>
        <v>37174675</v>
      </c>
      <c r="R845" s="6">
        <f t="shared" ref="R845:R856" si="544">Q845*0.56%</f>
        <v>208178</v>
      </c>
      <c r="S845" s="6"/>
      <c r="T845" s="6"/>
      <c r="U845" s="126">
        <f t="shared" ref="U845:U856" si="545">Q845*$U$4</f>
        <v>181317</v>
      </c>
      <c r="V845" s="131">
        <f t="shared" ref="V845:V856" si="546">Q845*$V$5</f>
        <v>20750</v>
      </c>
      <c r="W845" s="6"/>
      <c r="X845" s="6"/>
      <c r="Y845" s="6"/>
      <c r="Z845" s="6"/>
      <c r="AA845" s="19">
        <f t="shared" ref="AA845:AA856" si="547">SUM(Q845:Z845)</f>
        <v>37584920</v>
      </c>
      <c r="AB845" s="19">
        <f t="shared" ref="AB845:AB856" si="548">$AA845*AB$7</f>
        <v>40502261</v>
      </c>
      <c r="AC845" s="15">
        <f t="shared" si="539"/>
        <v>61367.06</v>
      </c>
      <c r="AD845" s="15">
        <f t="shared" si="540"/>
        <v>40502259.600000001</v>
      </c>
      <c r="AE845" s="25"/>
      <c r="AF845" s="157">
        <f t="shared" si="425"/>
        <v>-1.4</v>
      </c>
    </row>
    <row r="846" spans="1:32" s="4" customFormat="1" x14ac:dyDescent="0.25">
      <c r="A846" s="64" t="s">
        <v>1350</v>
      </c>
      <c r="B846" s="55" t="s">
        <v>587</v>
      </c>
      <c r="C846" s="46" t="s">
        <v>360</v>
      </c>
      <c r="D846" s="47">
        <v>3345</v>
      </c>
      <c r="E846" s="45">
        <f t="shared" si="538"/>
        <v>246.24</v>
      </c>
      <c r="F846" s="45"/>
      <c r="G846" s="45"/>
      <c r="H846" s="44">
        <v>823681.42</v>
      </c>
      <c r="I846" s="15"/>
      <c r="J846" s="15"/>
      <c r="K846" s="15"/>
      <c r="L846" s="15"/>
      <c r="M846" s="44"/>
      <c r="N846" s="44"/>
      <c r="O846" s="44">
        <f t="shared" si="541"/>
        <v>7511975</v>
      </c>
      <c r="P846" s="19">
        <f t="shared" si="542"/>
        <v>307991</v>
      </c>
      <c r="Q846" s="19">
        <f t="shared" si="543"/>
        <v>7819966</v>
      </c>
      <c r="R846" s="6">
        <f t="shared" si="544"/>
        <v>43792</v>
      </c>
      <c r="S846" s="6"/>
      <c r="T846" s="6"/>
      <c r="U846" s="126">
        <f t="shared" si="545"/>
        <v>38141</v>
      </c>
      <c r="V846" s="131">
        <f t="shared" si="546"/>
        <v>4365</v>
      </c>
      <c r="W846" s="6"/>
      <c r="X846" s="6"/>
      <c r="Y846" s="6"/>
      <c r="Z846" s="6"/>
      <c r="AA846" s="19">
        <f t="shared" si="547"/>
        <v>7906264</v>
      </c>
      <c r="AB846" s="19">
        <f t="shared" si="548"/>
        <v>8519948</v>
      </c>
      <c r="AC846" s="15">
        <f t="shared" si="539"/>
        <v>2547.0700000000002</v>
      </c>
      <c r="AD846" s="15">
        <f t="shared" si="540"/>
        <v>8519949.1500000004</v>
      </c>
      <c r="AE846" s="25"/>
      <c r="AF846" s="157">
        <f t="shared" si="425"/>
        <v>1.1499999999999999</v>
      </c>
    </row>
    <row r="847" spans="1:32" s="4" customFormat="1" x14ac:dyDescent="0.25">
      <c r="A847" s="64" t="s">
        <v>1351</v>
      </c>
      <c r="B847" s="55" t="s">
        <v>574</v>
      </c>
      <c r="C847" s="46" t="s">
        <v>360</v>
      </c>
      <c r="D847" s="47">
        <v>26783</v>
      </c>
      <c r="E847" s="45">
        <f t="shared" si="538"/>
        <v>240.67</v>
      </c>
      <c r="F847" s="45"/>
      <c r="G847" s="45"/>
      <c r="H847" s="44">
        <v>6445826</v>
      </c>
      <c r="I847" s="15"/>
      <c r="J847" s="15"/>
      <c r="K847" s="15"/>
      <c r="L847" s="15"/>
      <c r="M847" s="44"/>
      <c r="N847" s="44"/>
      <c r="O847" s="44">
        <f t="shared" si="541"/>
        <v>58785933</v>
      </c>
      <c r="P847" s="19">
        <f t="shared" si="542"/>
        <v>2410223</v>
      </c>
      <c r="Q847" s="19">
        <f t="shared" si="543"/>
        <v>61196156</v>
      </c>
      <c r="R847" s="6">
        <f t="shared" si="544"/>
        <v>342698</v>
      </c>
      <c r="S847" s="6"/>
      <c r="T847" s="6"/>
      <c r="U847" s="126">
        <f t="shared" si="545"/>
        <v>298480</v>
      </c>
      <c r="V847" s="131">
        <f t="shared" si="546"/>
        <v>34157</v>
      </c>
      <c r="W847" s="6"/>
      <c r="X847" s="6"/>
      <c r="Y847" s="6"/>
      <c r="Z847" s="6"/>
      <c r="AA847" s="19">
        <f t="shared" si="547"/>
        <v>61871491</v>
      </c>
      <c r="AB847" s="19">
        <f t="shared" si="548"/>
        <v>66673956</v>
      </c>
      <c r="AC847" s="15">
        <f t="shared" si="539"/>
        <v>2489.41</v>
      </c>
      <c r="AD847" s="15">
        <f t="shared" si="540"/>
        <v>66673868.030000001</v>
      </c>
      <c r="AE847" s="25"/>
      <c r="AF847" s="157">
        <f t="shared" si="425"/>
        <v>-87.97</v>
      </c>
    </row>
    <row r="848" spans="1:32" s="4" customFormat="1" x14ac:dyDescent="0.25">
      <c r="A848" s="64" t="s">
        <v>1352</v>
      </c>
      <c r="B848" s="55" t="s">
        <v>575</v>
      </c>
      <c r="C848" s="46" t="s">
        <v>360</v>
      </c>
      <c r="D848" s="47">
        <v>2197</v>
      </c>
      <c r="E848" s="45">
        <f t="shared" si="538"/>
        <v>210.02</v>
      </c>
      <c r="F848" s="45"/>
      <c r="G848" s="45"/>
      <c r="H848" s="44">
        <v>461417.19</v>
      </c>
      <c r="I848" s="15"/>
      <c r="J848" s="15"/>
      <c r="K848" s="15"/>
      <c r="L848" s="15"/>
      <c r="M848" s="44"/>
      <c r="N848" s="44"/>
      <c r="O848" s="44">
        <f t="shared" si="541"/>
        <v>4208125</v>
      </c>
      <c r="P848" s="19">
        <f t="shared" si="542"/>
        <v>172533</v>
      </c>
      <c r="Q848" s="19">
        <f t="shared" si="543"/>
        <v>4380658</v>
      </c>
      <c r="R848" s="6">
        <f t="shared" si="544"/>
        <v>24532</v>
      </c>
      <c r="S848" s="6"/>
      <c r="T848" s="6"/>
      <c r="U848" s="126">
        <f t="shared" si="545"/>
        <v>21366</v>
      </c>
      <c r="V848" s="131">
        <f t="shared" si="546"/>
        <v>2445</v>
      </c>
      <c r="W848" s="6"/>
      <c r="X848" s="6"/>
      <c r="Y848" s="6"/>
      <c r="Z848" s="6"/>
      <c r="AA848" s="19">
        <f t="shared" si="547"/>
        <v>4429001</v>
      </c>
      <c r="AB848" s="19">
        <f t="shared" si="548"/>
        <v>4772780</v>
      </c>
      <c r="AC848" s="15">
        <f t="shared" si="539"/>
        <v>2172.41</v>
      </c>
      <c r="AD848" s="15">
        <f t="shared" si="540"/>
        <v>4772784.7699999996</v>
      </c>
      <c r="AE848" s="25"/>
      <c r="AF848" s="157">
        <f t="shared" si="425"/>
        <v>4.7699999999999996</v>
      </c>
    </row>
    <row r="849" spans="1:32" s="4" customFormat="1" x14ac:dyDescent="0.25">
      <c r="A849" s="64" t="s">
        <v>1353</v>
      </c>
      <c r="B849" s="55" t="s">
        <v>576</v>
      </c>
      <c r="C849" s="46" t="s">
        <v>67</v>
      </c>
      <c r="D849" s="47">
        <v>639</v>
      </c>
      <c r="E849" s="45">
        <f t="shared" si="538"/>
        <v>760.3</v>
      </c>
      <c r="F849" s="45"/>
      <c r="G849" s="45"/>
      <c r="H849" s="44">
        <v>485834.38</v>
      </c>
      <c r="I849" s="15"/>
      <c r="J849" s="15"/>
      <c r="K849" s="15"/>
      <c r="L849" s="15"/>
      <c r="M849" s="44"/>
      <c r="N849" s="44"/>
      <c r="O849" s="44">
        <f t="shared" si="541"/>
        <v>4430810</v>
      </c>
      <c r="P849" s="19">
        <f t="shared" si="542"/>
        <v>181663</v>
      </c>
      <c r="Q849" s="19">
        <f t="shared" si="543"/>
        <v>4612473</v>
      </c>
      <c r="R849" s="6">
        <f t="shared" si="544"/>
        <v>25830</v>
      </c>
      <c r="S849" s="6"/>
      <c r="T849" s="6"/>
      <c r="U849" s="126">
        <f t="shared" si="545"/>
        <v>22497</v>
      </c>
      <c r="V849" s="131">
        <f t="shared" si="546"/>
        <v>2575</v>
      </c>
      <c r="W849" s="6"/>
      <c r="X849" s="6"/>
      <c r="Y849" s="6"/>
      <c r="Z849" s="6"/>
      <c r="AA849" s="19">
        <f t="shared" si="547"/>
        <v>4663375</v>
      </c>
      <c r="AB849" s="19">
        <f t="shared" si="548"/>
        <v>5025346</v>
      </c>
      <c r="AC849" s="15">
        <f t="shared" si="539"/>
        <v>7864.39</v>
      </c>
      <c r="AD849" s="15">
        <f t="shared" si="540"/>
        <v>5025345.21</v>
      </c>
      <c r="AE849" s="25"/>
      <c r="AF849" s="157">
        <f t="shared" si="425"/>
        <v>-0.79</v>
      </c>
    </row>
    <row r="850" spans="1:32" s="4" customFormat="1" x14ac:dyDescent="0.25">
      <c r="A850" s="64" t="s">
        <v>1354</v>
      </c>
      <c r="B850" s="55" t="s">
        <v>577</v>
      </c>
      <c r="C850" s="46" t="s">
        <v>360</v>
      </c>
      <c r="D850" s="47">
        <v>324</v>
      </c>
      <c r="E850" s="45">
        <f t="shared" si="538"/>
        <v>262.22000000000003</v>
      </c>
      <c r="F850" s="45"/>
      <c r="G850" s="45"/>
      <c r="H850" s="44">
        <v>84960.6</v>
      </c>
      <c r="I850" s="15"/>
      <c r="J850" s="15"/>
      <c r="K850" s="15"/>
      <c r="L850" s="15"/>
      <c r="M850" s="44"/>
      <c r="N850" s="44"/>
      <c r="O850" s="44">
        <f t="shared" si="541"/>
        <v>774841</v>
      </c>
      <c r="P850" s="19">
        <f t="shared" si="542"/>
        <v>31768</v>
      </c>
      <c r="Q850" s="19">
        <f t="shared" si="543"/>
        <v>806609</v>
      </c>
      <c r="R850" s="6">
        <f t="shared" si="544"/>
        <v>4517</v>
      </c>
      <c r="S850" s="6"/>
      <c r="T850" s="6"/>
      <c r="U850" s="126">
        <f t="shared" si="545"/>
        <v>3934</v>
      </c>
      <c r="V850" s="131">
        <f t="shared" si="546"/>
        <v>450</v>
      </c>
      <c r="W850" s="6"/>
      <c r="X850" s="6"/>
      <c r="Y850" s="6"/>
      <c r="Z850" s="6"/>
      <c r="AA850" s="19">
        <f t="shared" si="547"/>
        <v>815510</v>
      </c>
      <c r="AB850" s="19">
        <f t="shared" si="548"/>
        <v>878810</v>
      </c>
      <c r="AC850" s="15">
        <f t="shared" si="539"/>
        <v>2712.38</v>
      </c>
      <c r="AD850" s="15">
        <f t="shared" si="540"/>
        <v>878811.12</v>
      </c>
      <c r="AE850" s="25"/>
      <c r="AF850" s="157">
        <f t="shared" si="425"/>
        <v>1.1200000000000001</v>
      </c>
    </row>
    <row r="851" spans="1:32" s="4" customFormat="1" x14ac:dyDescent="0.25">
      <c r="A851" s="64" t="s">
        <v>1355</v>
      </c>
      <c r="B851" s="55" t="s">
        <v>578</v>
      </c>
      <c r="C851" s="46" t="s">
        <v>67</v>
      </c>
      <c r="D851" s="47">
        <v>1290</v>
      </c>
      <c r="E851" s="45">
        <f t="shared" si="538"/>
        <v>768.96</v>
      </c>
      <c r="F851" s="45"/>
      <c r="G851" s="45"/>
      <c r="H851" s="44">
        <v>991964.77</v>
      </c>
      <c r="I851" s="15"/>
      <c r="J851" s="15"/>
      <c r="K851" s="15"/>
      <c r="L851" s="15"/>
      <c r="M851" s="44"/>
      <c r="N851" s="44"/>
      <c r="O851" s="44">
        <f t="shared" si="541"/>
        <v>9046719</v>
      </c>
      <c r="P851" s="19">
        <f t="shared" si="542"/>
        <v>370915</v>
      </c>
      <c r="Q851" s="19">
        <f t="shared" si="543"/>
        <v>9417634</v>
      </c>
      <c r="R851" s="6">
        <f t="shared" si="544"/>
        <v>52739</v>
      </c>
      <c r="S851" s="6"/>
      <c r="T851" s="6"/>
      <c r="U851" s="126">
        <f t="shared" si="545"/>
        <v>45934</v>
      </c>
      <c r="V851" s="131">
        <f t="shared" si="546"/>
        <v>5257</v>
      </c>
      <c r="W851" s="6"/>
      <c r="X851" s="6"/>
      <c r="Y851" s="6"/>
      <c r="Z851" s="6"/>
      <c r="AA851" s="19">
        <f t="shared" si="547"/>
        <v>9521564</v>
      </c>
      <c r="AB851" s="19">
        <f t="shared" si="548"/>
        <v>10260628</v>
      </c>
      <c r="AC851" s="15">
        <f t="shared" si="539"/>
        <v>7953.98</v>
      </c>
      <c r="AD851" s="15">
        <f t="shared" si="540"/>
        <v>10260634.199999999</v>
      </c>
      <c r="AE851" s="25"/>
      <c r="AF851" s="157">
        <f t="shared" si="425"/>
        <v>6.2</v>
      </c>
    </row>
    <row r="852" spans="1:32" s="4" customFormat="1" x14ac:dyDescent="0.25">
      <c r="A852" s="64" t="s">
        <v>1356</v>
      </c>
      <c r="B852" s="55" t="s">
        <v>579</v>
      </c>
      <c r="C852" s="46" t="s">
        <v>67</v>
      </c>
      <c r="D852" s="47">
        <v>12</v>
      </c>
      <c r="E852" s="45">
        <f t="shared" si="538"/>
        <v>1728.71</v>
      </c>
      <c r="F852" s="45"/>
      <c r="G852" s="45"/>
      <c r="H852" s="44">
        <v>20744.57</v>
      </c>
      <c r="I852" s="15"/>
      <c r="J852" s="15"/>
      <c r="K852" s="15"/>
      <c r="L852" s="15"/>
      <c r="M852" s="44"/>
      <c r="N852" s="44"/>
      <c r="O852" s="44">
        <f t="shared" si="541"/>
        <v>189190</v>
      </c>
      <c r="P852" s="19">
        <f t="shared" si="542"/>
        <v>7757</v>
      </c>
      <c r="Q852" s="19">
        <f t="shared" si="543"/>
        <v>196947</v>
      </c>
      <c r="R852" s="6">
        <f t="shared" si="544"/>
        <v>1103</v>
      </c>
      <c r="S852" s="6"/>
      <c r="T852" s="6"/>
      <c r="U852" s="126">
        <f t="shared" si="545"/>
        <v>961</v>
      </c>
      <c r="V852" s="131">
        <f t="shared" si="546"/>
        <v>110</v>
      </c>
      <c r="W852" s="6"/>
      <c r="X852" s="6"/>
      <c r="Y852" s="6"/>
      <c r="Z852" s="6"/>
      <c r="AA852" s="19">
        <f t="shared" si="547"/>
        <v>199121</v>
      </c>
      <c r="AB852" s="19">
        <f t="shared" si="548"/>
        <v>214577</v>
      </c>
      <c r="AC852" s="15">
        <f t="shared" si="539"/>
        <v>17881.419999999998</v>
      </c>
      <c r="AD852" s="15">
        <f t="shared" si="540"/>
        <v>214577.04</v>
      </c>
      <c r="AE852" s="25"/>
      <c r="AF852" s="157">
        <f t="shared" si="425"/>
        <v>0.04</v>
      </c>
    </row>
    <row r="853" spans="1:32" s="4" customFormat="1" x14ac:dyDescent="0.25">
      <c r="A853" s="64" t="s">
        <v>1357</v>
      </c>
      <c r="B853" s="55" t="s">
        <v>580</v>
      </c>
      <c r="C853" s="46" t="s">
        <v>67</v>
      </c>
      <c r="D853" s="47">
        <v>345</v>
      </c>
      <c r="E853" s="45">
        <f t="shared" si="538"/>
        <v>156.33000000000001</v>
      </c>
      <c r="F853" s="45"/>
      <c r="G853" s="45"/>
      <c r="H853" s="44">
        <v>53933.08</v>
      </c>
      <c r="I853" s="15"/>
      <c r="J853" s="15"/>
      <c r="K853" s="15"/>
      <c r="L853" s="15"/>
      <c r="M853" s="44"/>
      <c r="N853" s="44"/>
      <c r="O853" s="44">
        <f t="shared" si="541"/>
        <v>491870</v>
      </c>
      <c r="P853" s="19">
        <f t="shared" si="542"/>
        <v>20167</v>
      </c>
      <c r="Q853" s="19">
        <f t="shared" si="543"/>
        <v>512037</v>
      </c>
      <c r="R853" s="6">
        <f t="shared" si="544"/>
        <v>2867</v>
      </c>
      <c r="S853" s="6"/>
      <c r="T853" s="6"/>
      <c r="U853" s="126">
        <f t="shared" si="545"/>
        <v>2497</v>
      </c>
      <c r="V853" s="131">
        <f t="shared" si="546"/>
        <v>286</v>
      </c>
      <c r="W853" s="6"/>
      <c r="X853" s="6"/>
      <c r="Y853" s="6"/>
      <c r="Z853" s="6"/>
      <c r="AA853" s="19">
        <f t="shared" si="547"/>
        <v>517687</v>
      </c>
      <c r="AB853" s="19">
        <f t="shared" si="548"/>
        <v>557870</v>
      </c>
      <c r="AC853" s="15">
        <f t="shared" si="539"/>
        <v>1617.01</v>
      </c>
      <c r="AD853" s="15">
        <f t="shared" si="540"/>
        <v>557868.44999999995</v>
      </c>
      <c r="AE853" s="25"/>
      <c r="AF853" s="157">
        <f t="shared" si="425"/>
        <v>-1.55</v>
      </c>
    </row>
    <row r="854" spans="1:32" s="4" customFormat="1" x14ac:dyDescent="0.25">
      <c r="A854" s="64" t="s">
        <v>1358</v>
      </c>
      <c r="B854" s="55" t="s">
        <v>581</v>
      </c>
      <c r="C854" s="46" t="s">
        <v>67</v>
      </c>
      <c r="D854" s="47">
        <v>6</v>
      </c>
      <c r="E854" s="45">
        <f t="shared" si="538"/>
        <v>58524.9</v>
      </c>
      <c r="F854" s="45"/>
      <c r="G854" s="45"/>
      <c r="H854" s="44">
        <v>351149.41</v>
      </c>
      <c r="I854" s="15"/>
      <c r="J854" s="15"/>
      <c r="K854" s="15"/>
      <c r="L854" s="15"/>
      <c r="M854" s="44"/>
      <c r="N854" s="44"/>
      <c r="O854" s="44">
        <f t="shared" si="541"/>
        <v>3202483</v>
      </c>
      <c r="P854" s="19">
        <f t="shared" si="542"/>
        <v>131302</v>
      </c>
      <c r="Q854" s="19">
        <f t="shared" si="543"/>
        <v>3333785</v>
      </c>
      <c r="R854" s="6">
        <f t="shared" si="544"/>
        <v>18669</v>
      </c>
      <c r="S854" s="6"/>
      <c r="T854" s="6"/>
      <c r="U854" s="126">
        <f t="shared" si="545"/>
        <v>16260</v>
      </c>
      <c r="V854" s="131">
        <f t="shared" si="546"/>
        <v>1861</v>
      </c>
      <c r="W854" s="6"/>
      <c r="X854" s="6"/>
      <c r="Y854" s="6"/>
      <c r="Z854" s="6"/>
      <c r="AA854" s="19">
        <f t="shared" si="547"/>
        <v>3370575</v>
      </c>
      <c r="AB854" s="19">
        <f t="shared" si="548"/>
        <v>3632199</v>
      </c>
      <c r="AC854" s="15">
        <f t="shared" si="539"/>
        <v>605366.5</v>
      </c>
      <c r="AD854" s="15">
        <f t="shared" si="540"/>
        <v>3632199</v>
      </c>
      <c r="AE854" s="25"/>
      <c r="AF854" s="157">
        <f t="shared" si="425"/>
        <v>0</v>
      </c>
    </row>
    <row r="855" spans="1:32" s="4" customFormat="1" x14ac:dyDescent="0.25">
      <c r="A855" s="64" t="s">
        <v>1359</v>
      </c>
      <c r="B855" s="55" t="s">
        <v>582</v>
      </c>
      <c r="C855" s="46" t="s">
        <v>360</v>
      </c>
      <c r="D855" s="47">
        <v>81</v>
      </c>
      <c r="E855" s="45">
        <f t="shared" si="538"/>
        <v>1321.33</v>
      </c>
      <c r="F855" s="45"/>
      <c r="G855" s="45"/>
      <c r="H855" s="44">
        <v>107027.43</v>
      </c>
      <c r="I855" s="15"/>
      <c r="J855" s="15"/>
      <c r="K855" s="15"/>
      <c r="L855" s="15"/>
      <c r="M855" s="44"/>
      <c r="N855" s="44"/>
      <c r="O855" s="44">
        <f t="shared" si="541"/>
        <v>976090</v>
      </c>
      <c r="P855" s="19">
        <f t="shared" si="542"/>
        <v>40020</v>
      </c>
      <c r="Q855" s="19">
        <f t="shared" si="543"/>
        <v>1016110</v>
      </c>
      <c r="R855" s="6">
        <f t="shared" si="544"/>
        <v>5690</v>
      </c>
      <c r="S855" s="6"/>
      <c r="T855" s="6"/>
      <c r="U855" s="126">
        <f t="shared" si="545"/>
        <v>4956</v>
      </c>
      <c r="V855" s="131">
        <f t="shared" si="546"/>
        <v>567</v>
      </c>
      <c r="W855" s="6"/>
      <c r="X855" s="6"/>
      <c r="Y855" s="6"/>
      <c r="Z855" s="6"/>
      <c r="AA855" s="19">
        <f t="shared" si="547"/>
        <v>1027323</v>
      </c>
      <c r="AB855" s="19">
        <f t="shared" si="548"/>
        <v>1107064</v>
      </c>
      <c r="AC855" s="15">
        <f t="shared" si="539"/>
        <v>13667.46</v>
      </c>
      <c r="AD855" s="15">
        <f t="shared" si="540"/>
        <v>1107064.26</v>
      </c>
      <c r="AE855" s="25"/>
      <c r="AF855" s="157">
        <f t="shared" si="425"/>
        <v>0.26</v>
      </c>
    </row>
    <row r="856" spans="1:32" s="4" customFormat="1" x14ac:dyDescent="0.25">
      <c r="A856" s="64" t="s">
        <v>1360</v>
      </c>
      <c r="B856" s="55" t="s">
        <v>583</v>
      </c>
      <c r="C856" s="46" t="s">
        <v>360</v>
      </c>
      <c r="D856" s="47">
        <v>25</v>
      </c>
      <c r="E856" s="45">
        <f t="shared" si="538"/>
        <v>17.809999999999999</v>
      </c>
      <c r="F856" s="45"/>
      <c r="G856" s="45"/>
      <c r="H856" s="44">
        <v>445.14</v>
      </c>
      <c r="I856" s="15"/>
      <c r="J856" s="15"/>
      <c r="K856" s="15"/>
      <c r="L856" s="15"/>
      <c r="M856" s="44"/>
      <c r="N856" s="44"/>
      <c r="O856" s="44">
        <f t="shared" si="541"/>
        <v>4060</v>
      </c>
      <c r="P856" s="19">
        <f t="shared" si="542"/>
        <v>166</v>
      </c>
      <c r="Q856" s="19">
        <f t="shared" si="543"/>
        <v>4226</v>
      </c>
      <c r="R856" s="6">
        <f t="shared" si="544"/>
        <v>24</v>
      </c>
      <c r="S856" s="6"/>
      <c r="T856" s="6"/>
      <c r="U856" s="126">
        <f t="shared" si="545"/>
        <v>21</v>
      </c>
      <c r="V856" s="131">
        <f t="shared" si="546"/>
        <v>2</v>
      </c>
      <c r="W856" s="6"/>
      <c r="X856" s="6"/>
      <c r="Y856" s="6"/>
      <c r="Z856" s="6"/>
      <c r="AA856" s="19">
        <f t="shared" si="547"/>
        <v>4273</v>
      </c>
      <c r="AB856" s="19">
        <f t="shared" si="548"/>
        <v>4605</v>
      </c>
      <c r="AC856" s="15">
        <f t="shared" si="539"/>
        <v>184.2</v>
      </c>
      <c r="AD856" s="15">
        <f t="shared" si="540"/>
        <v>4605</v>
      </c>
      <c r="AE856" s="25"/>
      <c r="AF856" s="157">
        <f t="shared" si="425"/>
        <v>0</v>
      </c>
    </row>
    <row r="857" spans="1:32" s="91" customFormat="1" x14ac:dyDescent="0.25">
      <c r="A857" s="87" t="s">
        <v>1361</v>
      </c>
      <c r="B857" s="88" t="s">
        <v>184</v>
      </c>
      <c r="C857" s="92"/>
      <c r="D857" s="93"/>
      <c r="E857" s="107"/>
      <c r="F857" s="107"/>
      <c r="G857" s="107"/>
      <c r="H857" s="111">
        <v>4762850</v>
      </c>
      <c r="I857" s="20"/>
      <c r="J857" s="20">
        <f>4762.85*1000</f>
        <v>4762850</v>
      </c>
      <c r="K857" s="20" t="s">
        <v>27</v>
      </c>
      <c r="L857" s="20">
        <f>H857-J857</f>
        <v>0</v>
      </c>
      <c r="M857" s="95">
        <v>43437150</v>
      </c>
      <c r="N857" s="50">
        <f>SUM(O858:O861)-M857</f>
        <v>-3</v>
      </c>
      <c r="O857" s="95"/>
      <c r="P857" s="50"/>
      <c r="Q857" s="50"/>
      <c r="R857" s="50"/>
      <c r="S857" s="104"/>
      <c r="T857" s="104"/>
      <c r="U857" s="126"/>
      <c r="V857" s="131"/>
      <c r="W857" s="30"/>
      <c r="X857" s="104"/>
      <c r="Y857" s="104"/>
      <c r="Z857" s="104"/>
      <c r="AA857" s="50"/>
      <c r="AB857" s="50"/>
      <c r="AC857" s="20"/>
      <c r="AD857" s="20"/>
      <c r="AE857" s="97"/>
      <c r="AF857" s="157">
        <f t="shared" si="425"/>
        <v>0</v>
      </c>
    </row>
    <row r="858" spans="1:32" s="4" customFormat="1" ht="38.25" x14ac:dyDescent="0.25">
      <c r="A858" s="64" t="s">
        <v>1362</v>
      </c>
      <c r="B858" s="55" t="s">
        <v>185</v>
      </c>
      <c r="C858" s="46" t="s">
        <v>82</v>
      </c>
      <c r="D858" s="47">
        <v>331.2</v>
      </c>
      <c r="E858" s="45">
        <f>H858/D858</f>
        <v>759.52</v>
      </c>
      <c r="F858" s="45"/>
      <c r="G858" s="45"/>
      <c r="H858" s="44">
        <v>251553</v>
      </c>
      <c r="I858" s="44"/>
      <c r="J858" s="15"/>
      <c r="K858" s="15"/>
      <c r="L858" s="15"/>
      <c r="M858" s="44"/>
      <c r="N858" s="44"/>
      <c r="O858" s="44">
        <f>H858*9.12</f>
        <v>2294163</v>
      </c>
      <c r="P858" s="19">
        <f>O858*4.1%</f>
        <v>94061</v>
      </c>
      <c r="Q858" s="19">
        <f>SUM(O858:P858)</f>
        <v>2388224</v>
      </c>
      <c r="R858" s="6">
        <f>Q858*0.56%</f>
        <v>13374</v>
      </c>
      <c r="S858" s="6"/>
      <c r="T858" s="6"/>
      <c r="U858" s="126">
        <f>Q858*$U$4</f>
        <v>11648</v>
      </c>
      <c r="V858" s="131">
        <f>Q858*$V$5</f>
        <v>1333</v>
      </c>
      <c r="W858" s="6"/>
      <c r="X858" s="6"/>
      <c r="Y858" s="6"/>
      <c r="Z858" s="6"/>
      <c r="AA858" s="19">
        <f>SUM(Q858:Z858)</f>
        <v>2414579</v>
      </c>
      <c r="AB858" s="19">
        <f>$AA858*AB$7</f>
        <v>2601999</v>
      </c>
      <c r="AC858" s="15">
        <f>AB858/D858</f>
        <v>7856.28</v>
      </c>
      <c r="AD858" s="15">
        <f>AC858*D858</f>
        <v>2601999.94</v>
      </c>
      <c r="AE858" s="25"/>
      <c r="AF858" s="157">
        <f t="shared" si="425"/>
        <v>0.94</v>
      </c>
    </row>
    <row r="859" spans="1:32" s="4" customFormat="1" ht="38.25" x14ac:dyDescent="0.25">
      <c r="A859" s="64" t="s">
        <v>1363</v>
      </c>
      <c r="B859" s="55" t="s">
        <v>584</v>
      </c>
      <c r="C859" s="46" t="s">
        <v>82</v>
      </c>
      <c r="D859" s="47">
        <v>94.6</v>
      </c>
      <c r="E859" s="45">
        <f>H859/D859</f>
        <v>1109.57</v>
      </c>
      <c r="F859" s="45"/>
      <c r="G859" s="45"/>
      <c r="H859" s="44">
        <v>104965</v>
      </c>
      <c r="I859" s="44"/>
      <c r="J859" s="15"/>
      <c r="K859" s="15"/>
      <c r="L859" s="15"/>
      <c r="M859" s="44"/>
      <c r="N859" s="44"/>
      <c r="O859" s="44">
        <f>H859*9.12</f>
        <v>957281</v>
      </c>
      <c r="P859" s="19">
        <f>O859*4.1%</f>
        <v>39249</v>
      </c>
      <c r="Q859" s="19">
        <f>SUM(O859:P859)</f>
        <v>996530</v>
      </c>
      <c r="R859" s="6">
        <f>Q859*0.56%</f>
        <v>5581</v>
      </c>
      <c r="S859" s="6"/>
      <c r="T859" s="6"/>
      <c r="U859" s="126">
        <f>Q859*$U$4</f>
        <v>4861</v>
      </c>
      <c r="V859" s="131">
        <f>Q859*$V$5</f>
        <v>556</v>
      </c>
      <c r="W859" s="6"/>
      <c r="X859" s="6"/>
      <c r="Y859" s="6"/>
      <c r="Z859" s="6"/>
      <c r="AA859" s="19">
        <f>SUM(Q859:Z859)</f>
        <v>1007528</v>
      </c>
      <c r="AB859" s="19">
        <f>$AA859*AB$7</f>
        <v>1085732</v>
      </c>
      <c r="AC859" s="15">
        <f>AB859/D859</f>
        <v>11477.08</v>
      </c>
      <c r="AD859" s="15">
        <f>AC859*D859</f>
        <v>1085731.77</v>
      </c>
      <c r="AE859" s="25"/>
      <c r="AF859" s="157">
        <f t="shared" si="425"/>
        <v>-0.23</v>
      </c>
    </row>
    <row r="860" spans="1:32" s="4" customFormat="1" x14ac:dyDescent="0.25">
      <c r="A860" s="64" t="s">
        <v>1364</v>
      </c>
      <c r="B860" s="55" t="s">
        <v>585</v>
      </c>
      <c r="C860" s="46" t="s">
        <v>82</v>
      </c>
      <c r="D860" s="47">
        <v>1726.2</v>
      </c>
      <c r="E860" s="45">
        <f>H860/D860</f>
        <v>526.23</v>
      </c>
      <c r="F860" s="45"/>
      <c r="G860" s="45"/>
      <c r="H860" s="44">
        <v>908380</v>
      </c>
      <c r="I860" s="44"/>
      <c r="J860" s="15"/>
      <c r="K860" s="15"/>
      <c r="L860" s="15"/>
      <c r="M860" s="44"/>
      <c r="N860" s="44"/>
      <c r="O860" s="44">
        <f>H860*9.12</f>
        <v>8284426</v>
      </c>
      <c r="P860" s="19">
        <f>O860*4.1%</f>
        <v>339661</v>
      </c>
      <c r="Q860" s="19">
        <f>SUM(O860:P860)</f>
        <v>8624087</v>
      </c>
      <c r="R860" s="6">
        <f>Q860*0.56%</f>
        <v>48295</v>
      </c>
      <c r="S860" s="6"/>
      <c r="T860" s="6"/>
      <c r="U860" s="126">
        <f>Q860*$U$4</f>
        <v>42063</v>
      </c>
      <c r="V860" s="131">
        <f>Q860*$V$5</f>
        <v>4814</v>
      </c>
      <c r="W860" s="6"/>
      <c r="X860" s="6"/>
      <c r="Y860" s="6"/>
      <c r="Z860" s="6"/>
      <c r="AA860" s="19">
        <f>SUM(Q860:Z860)</f>
        <v>8719259</v>
      </c>
      <c r="AB860" s="19">
        <f>$AA860*AB$7</f>
        <v>9396048</v>
      </c>
      <c r="AC860" s="15">
        <f>AB860/D860</f>
        <v>5443.2</v>
      </c>
      <c r="AD860" s="15">
        <f>AC860*D860</f>
        <v>9396051.8399999999</v>
      </c>
      <c r="AE860" s="25"/>
      <c r="AF860" s="157">
        <f t="shared" si="425"/>
        <v>3.84</v>
      </c>
    </row>
    <row r="861" spans="1:32" s="4" customFormat="1" x14ac:dyDescent="0.25">
      <c r="A861" s="64" t="s">
        <v>1365</v>
      </c>
      <c r="B861" s="55" t="s">
        <v>586</v>
      </c>
      <c r="C861" s="46" t="s">
        <v>82</v>
      </c>
      <c r="D861" s="47">
        <v>5120.7</v>
      </c>
      <c r="E861" s="45">
        <f>H861/D861</f>
        <v>683.1</v>
      </c>
      <c r="F861" s="45"/>
      <c r="G861" s="45"/>
      <c r="H861" s="44">
        <v>3497947</v>
      </c>
      <c r="I861" s="44"/>
      <c r="J861" s="15"/>
      <c r="K861" s="15"/>
      <c r="L861" s="15"/>
      <c r="M861" s="44"/>
      <c r="N861" s="44"/>
      <c r="O861" s="44">
        <f>H861*9.12</f>
        <v>31901277</v>
      </c>
      <c r="P861" s="19">
        <f>O861*4.1%</f>
        <v>1307952</v>
      </c>
      <c r="Q861" s="19">
        <f>SUM(O861:P861)</f>
        <v>33209229</v>
      </c>
      <c r="R861" s="6">
        <f>Q861*0.56%</f>
        <v>185972</v>
      </c>
      <c r="S861" s="6"/>
      <c r="T861" s="6"/>
      <c r="U861" s="126">
        <f>Q861*$U$4</f>
        <v>161976</v>
      </c>
      <c r="V861" s="131">
        <f>Q861*$V$5</f>
        <v>18536</v>
      </c>
      <c r="W861" s="6"/>
      <c r="X861" s="6"/>
      <c r="Y861" s="6"/>
      <c r="Z861" s="6"/>
      <c r="AA861" s="19">
        <f>SUM(Q861:Z861)</f>
        <v>33575713</v>
      </c>
      <c r="AB861" s="19">
        <f>$AA861*AB$7</f>
        <v>36181860</v>
      </c>
      <c r="AC861" s="15">
        <f>AB861/D861</f>
        <v>7065.8</v>
      </c>
      <c r="AD861" s="15">
        <f>AC861*D861</f>
        <v>36181842.060000002</v>
      </c>
      <c r="AE861" s="25"/>
      <c r="AF861" s="157">
        <f t="shared" si="425"/>
        <v>-17.940000000000001</v>
      </c>
    </row>
    <row r="862" spans="1:32" s="91" customFormat="1" x14ac:dyDescent="0.25">
      <c r="A862" s="87" t="s">
        <v>1366</v>
      </c>
      <c r="B862" s="88" t="s">
        <v>186</v>
      </c>
      <c r="C862" s="92"/>
      <c r="D862" s="93"/>
      <c r="E862" s="94"/>
      <c r="F862" s="94"/>
      <c r="G862" s="94"/>
      <c r="H862" s="111">
        <f>13453750-11824.17*1000</f>
        <v>1629580</v>
      </c>
      <c r="I862" s="20">
        <f>11824.17*1000</f>
        <v>11824170</v>
      </c>
      <c r="J862" s="20">
        <f>(13453.75)*1000</f>
        <v>13453750</v>
      </c>
      <c r="K862" s="20" t="s">
        <v>28</v>
      </c>
      <c r="L862" s="20">
        <f>J862-H862-I862</f>
        <v>0</v>
      </c>
      <c r="M862" s="95">
        <f>76347500-61485700</f>
        <v>14861800</v>
      </c>
      <c r="N862" s="50">
        <f>SUM(O863:O868)-M862</f>
        <v>14</v>
      </c>
      <c r="O862" s="95"/>
      <c r="P862" s="50"/>
      <c r="Q862" s="50"/>
      <c r="R862" s="50"/>
      <c r="S862" s="30"/>
      <c r="T862" s="30"/>
      <c r="U862" s="126"/>
      <c r="V862" s="131"/>
      <c r="W862" s="30"/>
      <c r="X862" s="30"/>
      <c r="Y862" s="30"/>
      <c r="Z862" s="30"/>
      <c r="AA862" s="50"/>
      <c r="AB862" s="50"/>
      <c r="AC862" s="20"/>
      <c r="AD862" s="20"/>
      <c r="AE862" s="97"/>
      <c r="AF862" s="157">
        <f t="shared" ref="AF862:AF928" si="549">AD862-AB862</f>
        <v>0</v>
      </c>
    </row>
    <row r="863" spans="1:32" s="4" customFormat="1" x14ac:dyDescent="0.25">
      <c r="A863" s="64" t="s">
        <v>1367</v>
      </c>
      <c r="B863" s="55" t="s">
        <v>588</v>
      </c>
      <c r="C863" s="46" t="s">
        <v>83</v>
      </c>
      <c r="D863" s="47">
        <v>1</v>
      </c>
      <c r="E863" s="45">
        <v>2625104</v>
      </c>
      <c r="F863" s="45"/>
      <c r="G863" s="45"/>
      <c r="H863" s="44">
        <f>2719142.83-I863</f>
        <v>300428</v>
      </c>
      <c r="I863" s="19">
        <v>2418715</v>
      </c>
      <c r="J863" s="15"/>
      <c r="K863" s="15"/>
      <c r="L863" s="15"/>
      <c r="M863" s="44"/>
      <c r="N863" s="44"/>
      <c r="O863" s="44">
        <f>(H863)*9.12</f>
        <v>2739903</v>
      </c>
      <c r="P863" s="19">
        <f>(O863)*4.1%</f>
        <v>112336</v>
      </c>
      <c r="Q863" s="19">
        <f>SUM(O863:P863)</f>
        <v>2852239</v>
      </c>
      <c r="R863" s="6">
        <f>(Q863)*0.56%</f>
        <v>15973</v>
      </c>
      <c r="S863" s="6"/>
      <c r="T863" s="6"/>
      <c r="U863" s="126">
        <f>Q863*$U$4</f>
        <v>13912</v>
      </c>
      <c r="V863" s="131">
        <f>Q863*$V$5</f>
        <v>1592</v>
      </c>
      <c r="W863" s="6"/>
      <c r="X863" s="6"/>
      <c r="Y863" s="6"/>
      <c r="Z863" s="6">
        <f>I863*5.2</f>
        <v>12577318</v>
      </c>
      <c r="AA863" s="19">
        <f>SUM(Q863:Z863)</f>
        <v>15461034</v>
      </c>
      <c r="AB863" s="19">
        <f>$AA863*AB$7</f>
        <v>16661119</v>
      </c>
      <c r="AC863" s="15">
        <f t="shared" ref="AC863:AC868" si="550">AB863/D863</f>
        <v>16661119</v>
      </c>
      <c r="AD863" s="15">
        <f t="shared" ref="AD863:AD868" si="551">AC863*D863</f>
        <v>16661119</v>
      </c>
      <c r="AE863" s="25"/>
      <c r="AF863" s="157">
        <f t="shared" si="549"/>
        <v>0</v>
      </c>
    </row>
    <row r="864" spans="1:32" s="4" customFormat="1" x14ac:dyDescent="0.25">
      <c r="A864" s="64" t="s">
        <v>1368</v>
      </c>
      <c r="B864" s="55" t="s">
        <v>589</v>
      </c>
      <c r="C864" s="46" t="s">
        <v>83</v>
      </c>
      <c r="D864" s="47">
        <v>1</v>
      </c>
      <c r="E864" s="45">
        <v>2625104</v>
      </c>
      <c r="F864" s="45"/>
      <c r="G864" s="45"/>
      <c r="H864" s="44">
        <f>2709809-I864</f>
        <v>298318</v>
      </c>
      <c r="I864" s="19">
        <v>2411491</v>
      </c>
      <c r="J864" s="15"/>
      <c r="K864" s="15"/>
      <c r="L864" s="15"/>
      <c r="M864" s="44"/>
      <c r="N864" s="44"/>
      <c r="O864" s="44">
        <f t="shared" ref="O864:O868" si="552">(H864)*9.12</f>
        <v>2720660</v>
      </c>
      <c r="P864" s="19">
        <f t="shared" ref="P864:P868" si="553">(O864)*4.1%</f>
        <v>111547</v>
      </c>
      <c r="Q864" s="19">
        <f t="shared" ref="Q864:Q868" si="554">SUM(O864:P864)</f>
        <v>2832207</v>
      </c>
      <c r="R864" s="6">
        <f t="shared" ref="R864:R868" si="555">(Q864)*0.56%</f>
        <v>15860</v>
      </c>
      <c r="S864" s="6"/>
      <c r="T864" s="6"/>
      <c r="U864" s="126">
        <f t="shared" ref="U864:U868" si="556">Q864*$U$4</f>
        <v>13814</v>
      </c>
      <c r="V864" s="131">
        <f t="shared" ref="V864:V868" si="557">Q864*$V$5</f>
        <v>1581</v>
      </c>
      <c r="W864" s="6"/>
      <c r="X864" s="6"/>
      <c r="Y864" s="6"/>
      <c r="Z864" s="6">
        <f t="shared" ref="Z864:Z868" si="558">I864*5.2</f>
        <v>12539753</v>
      </c>
      <c r="AA864" s="19">
        <f t="shared" ref="AA864:AA868" si="559">SUM(Q864:Z864)</f>
        <v>15403215</v>
      </c>
      <c r="AB864" s="19">
        <f t="shared" ref="AB864:AB868" si="560">$AA864*AB$7</f>
        <v>16598813</v>
      </c>
      <c r="AC864" s="15">
        <f t="shared" si="550"/>
        <v>16598813</v>
      </c>
      <c r="AD864" s="15">
        <f t="shared" si="551"/>
        <v>16598813</v>
      </c>
      <c r="AE864" s="25"/>
      <c r="AF864" s="157">
        <f t="shared" si="549"/>
        <v>0</v>
      </c>
    </row>
    <row r="865" spans="1:32" s="4" customFormat="1" x14ac:dyDescent="0.25">
      <c r="A865" s="64" t="s">
        <v>1369</v>
      </c>
      <c r="B865" s="55" t="s">
        <v>590</v>
      </c>
      <c r="C865" s="46" t="s">
        <v>83</v>
      </c>
      <c r="D865" s="47">
        <v>1</v>
      </c>
      <c r="E865" s="45">
        <v>2625104</v>
      </c>
      <c r="F865" s="45"/>
      <c r="G865" s="45"/>
      <c r="H865" s="44">
        <f>2709809-I865</f>
        <v>298318</v>
      </c>
      <c r="I865" s="19">
        <v>2411491</v>
      </c>
      <c r="J865" s="15"/>
      <c r="K865" s="15"/>
      <c r="L865" s="15"/>
      <c r="M865" s="44"/>
      <c r="N865" s="44"/>
      <c r="O865" s="44">
        <f t="shared" si="552"/>
        <v>2720660</v>
      </c>
      <c r="P865" s="19">
        <f t="shared" si="553"/>
        <v>111547</v>
      </c>
      <c r="Q865" s="19">
        <f t="shared" si="554"/>
        <v>2832207</v>
      </c>
      <c r="R865" s="6">
        <f t="shared" si="555"/>
        <v>15860</v>
      </c>
      <c r="S865" s="6"/>
      <c r="T865" s="6"/>
      <c r="U865" s="126">
        <f t="shared" si="556"/>
        <v>13814</v>
      </c>
      <c r="V865" s="131">
        <f t="shared" si="557"/>
        <v>1581</v>
      </c>
      <c r="W865" s="6"/>
      <c r="X865" s="6"/>
      <c r="Y865" s="6"/>
      <c r="Z865" s="6">
        <f t="shared" si="558"/>
        <v>12539753</v>
      </c>
      <c r="AA865" s="19">
        <f t="shared" si="559"/>
        <v>15403215</v>
      </c>
      <c r="AB865" s="19">
        <f t="shared" si="560"/>
        <v>16598813</v>
      </c>
      <c r="AC865" s="15">
        <f t="shared" si="550"/>
        <v>16598813</v>
      </c>
      <c r="AD865" s="15">
        <f t="shared" si="551"/>
        <v>16598813</v>
      </c>
      <c r="AE865" s="25"/>
      <c r="AF865" s="157">
        <f t="shared" si="549"/>
        <v>0</v>
      </c>
    </row>
    <row r="866" spans="1:32" s="4" customFormat="1" x14ac:dyDescent="0.25">
      <c r="A866" s="64" t="s">
        <v>1370</v>
      </c>
      <c r="B866" s="55" t="s">
        <v>591</v>
      </c>
      <c r="C866" s="46" t="s">
        <v>83</v>
      </c>
      <c r="D866" s="47">
        <v>1</v>
      </c>
      <c r="E866" s="45">
        <v>2625104</v>
      </c>
      <c r="F866" s="45"/>
      <c r="G866" s="45"/>
      <c r="H866" s="44">
        <f>2705475-I866</f>
        <v>298319</v>
      </c>
      <c r="I866" s="19">
        <v>2407156</v>
      </c>
      <c r="J866" s="15"/>
      <c r="K866" s="15"/>
      <c r="L866" s="15"/>
      <c r="M866" s="44"/>
      <c r="N866" s="44"/>
      <c r="O866" s="44">
        <f t="shared" si="552"/>
        <v>2720669</v>
      </c>
      <c r="P866" s="19">
        <f t="shared" si="553"/>
        <v>111547</v>
      </c>
      <c r="Q866" s="19">
        <f t="shared" si="554"/>
        <v>2832216</v>
      </c>
      <c r="R866" s="6">
        <f t="shared" si="555"/>
        <v>15860</v>
      </c>
      <c r="S866" s="6"/>
      <c r="T866" s="6"/>
      <c r="U866" s="126">
        <f t="shared" si="556"/>
        <v>13814</v>
      </c>
      <c r="V866" s="131">
        <f t="shared" si="557"/>
        <v>1581</v>
      </c>
      <c r="W866" s="6"/>
      <c r="X866" s="6"/>
      <c r="Y866" s="6"/>
      <c r="Z866" s="6">
        <f t="shared" si="558"/>
        <v>12517211</v>
      </c>
      <c r="AA866" s="19">
        <f t="shared" si="559"/>
        <v>15380682</v>
      </c>
      <c r="AB866" s="19">
        <f t="shared" si="560"/>
        <v>16574531</v>
      </c>
      <c r="AC866" s="15">
        <f t="shared" si="550"/>
        <v>16574531</v>
      </c>
      <c r="AD866" s="15">
        <f t="shared" si="551"/>
        <v>16574531</v>
      </c>
      <c r="AE866" s="25"/>
      <c r="AF866" s="157">
        <f t="shared" si="549"/>
        <v>0</v>
      </c>
    </row>
    <row r="867" spans="1:32" s="4" customFormat="1" x14ac:dyDescent="0.25">
      <c r="A867" s="64" t="s">
        <v>1371</v>
      </c>
      <c r="B867" s="55" t="s">
        <v>1462</v>
      </c>
      <c r="C867" s="46" t="s">
        <v>83</v>
      </c>
      <c r="D867" s="47">
        <v>1</v>
      </c>
      <c r="E867" s="45">
        <v>2625104</v>
      </c>
      <c r="F867" s="45"/>
      <c r="G867" s="45"/>
      <c r="H867" s="44">
        <f>1304761-I867</f>
        <v>217101</v>
      </c>
      <c r="I867" s="19">
        <v>1087660</v>
      </c>
      <c r="J867" s="15"/>
      <c r="K867" s="15"/>
      <c r="L867" s="15"/>
      <c r="M867" s="44"/>
      <c r="N867" s="44"/>
      <c r="O867" s="44">
        <f t="shared" si="552"/>
        <v>1979961</v>
      </c>
      <c r="P867" s="19">
        <f t="shared" si="553"/>
        <v>81178</v>
      </c>
      <c r="Q867" s="19">
        <f t="shared" si="554"/>
        <v>2061139</v>
      </c>
      <c r="R867" s="6">
        <f t="shared" si="555"/>
        <v>11542</v>
      </c>
      <c r="S867" s="6"/>
      <c r="T867" s="6"/>
      <c r="U867" s="126">
        <f t="shared" si="556"/>
        <v>10053</v>
      </c>
      <c r="V867" s="131">
        <f t="shared" si="557"/>
        <v>1150</v>
      </c>
      <c r="W867" s="6"/>
      <c r="X867" s="6"/>
      <c r="Y867" s="6"/>
      <c r="Z867" s="6">
        <f t="shared" si="558"/>
        <v>5655832</v>
      </c>
      <c r="AA867" s="19">
        <f t="shared" si="559"/>
        <v>7739716</v>
      </c>
      <c r="AB867" s="19">
        <f t="shared" si="560"/>
        <v>8340473</v>
      </c>
      <c r="AC867" s="15">
        <f t="shared" si="550"/>
        <v>8340473</v>
      </c>
      <c r="AD867" s="15">
        <f t="shared" si="551"/>
        <v>8340473</v>
      </c>
      <c r="AE867" s="25"/>
      <c r="AF867" s="157">
        <f t="shared" si="549"/>
        <v>0</v>
      </c>
    </row>
    <row r="868" spans="1:32" s="4" customFormat="1" x14ac:dyDescent="0.25">
      <c r="A868" s="64" t="s">
        <v>1372</v>
      </c>
      <c r="B868" s="55" t="s">
        <v>1463</v>
      </c>
      <c r="C868" s="46" t="s">
        <v>83</v>
      </c>
      <c r="D868" s="47">
        <v>1</v>
      </c>
      <c r="E868" s="45">
        <v>2625104</v>
      </c>
      <c r="F868" s="45"/>
      <c r="G868" s="45"/>
      <c r="H868" s="44">
        <f>1304761-I868</f>
        <v>217101</v>
      </c>
      <c r="I868" s="19">
        <v>1087660</v>
      </c>
      <c r="J868" s="15"/>
      <c r="K868" s="15"/>
      <c r="L868" s="15"/>
      <c r="M868" s="44"/>
      <c r="N868" s="44"/>
      <c r="O868" s="44">
        <f t="shared" si="552"/>
        <v>1979961</v>
      </c>
      <c r="P868" s="19">
        <f t="shared" si="553"/>
        <v>81178</v>
      </c>
      <c r="Q868" s="19">
        <f t="shared" si="554"/>
        <v>2061139</v>
      </c>
      <c r="R868" s="6">
        <f t="shared" si="555"/>
        <v>11542</v>
      </c>
      <c r="S868" s="6"/>
      <c r="T868" s="6"/>
      <c r="U868" s="126">
        <f t="shared" si="556"/>
        <v>10053</v>
      </c>
      <c r="V868" s="131">
        <f t="shared" si="557"/>
        <v>1150</v>
      </c>
      <c r="W868" s="6"/>
      <c r="X868" s="6"/>
      <c r="Y868" s="6"/>
      <c r="Z868" s="6">
        <f t="shared" si="558"/>
        <v>5655832</v>
      </c>
      <c r="AA868" s="19">
        <f t="shared" si="559"/>
        <v>7739716</v>
      </c>
      <c r="AB868" s="19">
        <f t="shared" si="560"/>
        <v>8340473</v>
      </c>
      <c r="AC868" s="15">
        <f t="shared" si="550"/>
        <v>8340473</v>
      </c>
      <c r="AD868" s="15">
        <f t="shared" si="551"/>
        <v>8340473</v>
      </c>
      <c r="AE868" s="25"/>
      <c r="AF868" s="157">
        <f t="shared" si="549"/>
        <v>0</v>
      </c>
    </row>
    <row r="869" spans="1:32" s="51" customFormat="1" x14ac:dyDescent="0.25">
      <c r="A869" s="108" t="s">
        <v>1373</v>
      </c>
      <c r="B869" s="88" t="s">
        <v>187</v>
      </c>
      <c r="C869" s="92"/>
      <c r="D869" s="93"/>
      <c r="E869" s="94"/>
      <c r="F869" s="94"/>
      <c r="G869" s="94"/>
      <c r="H869" s="111">
        <v>1006970</v>
      </c>
      <c r="I869" s="20"/>
      <c r="J869" s="20">
        <f>1006.97*1000</f>
        <v>1006970</v>
      </c>
      <c r="K869" s="20" t="s">
        <v>29</v>
      </c>
      <c r="L869" s="20">
        <f>H869-J869</f>
        <v>0</v>
      </c>
      <c r="M869" s="95">
        <v>9183560</v>
      </c>
      <c r="N869" s="50">
        <f>SUM(O870:O874)-M869</f>
        <v>-12</v>
      </c>
      <c r="O869" s="95"/>
      <c r="P869" s="50"/>
      <c r="Q869" s="50"/>
      <c r="R869" s="50"/>
      <c r="S869" s="30"/>
      <c r="T869" s="30"/>
      <c r="U869" s="126"/>
      <c r="V869" s="126"/>
      <c r="W869" s="50"/>
      <c r="X869" s="30"/>
      <c r="Y869" s="30"/>
      <c r="Z869" s="30"/>
      <c r="AA869" s="50"/>
      <c r="AB869" s="50"/>
      <c r="AC869" s="20"/>
      <c r="AD869" s="20"/>
      <c r="AE869" s="97"/>
      <c r="AF869" s="157">
        <f t="shared" si="549"/>
        <v>0</v>
      </c>
    </row>
    <row r="870" spans="1:32" s="4" customFormat="1" ht="25.5" x14ac:dyDescent="0.25">
      <c r="A870" s="64" t="s">
        <v>1374</v>
      </c>
      <c r="B870" s="55" t="s">
        <v>537</v>
      </c>
      <c r="C870" s="46" t="s">
        <v>72</v>
      </c>
      <c r="D870" s="47">
        <v>1050</v>
      </c>
      <c r="E870" s="45">
        <f>H870/D870</f>
        <v>72.38</v>
      </c>
      <c r="F870" s="45"/>
      <c r="G870" s="45"/>
      <c r="H870" s="44">
        <v>76001</v>
      </c>
      <c r="I870" s="15"/>
      <c r="J870" s="15"/>
      <c r="K870" s="15"/>
      <c r="L870" s="15"/>
      <c r="M870" s="44"/>
      <c r="N870" s="44"/>
      <c r="O870" s="44">
        <f>H870*9.12</f>
        <v>693129</v>
      </c>
      <c r="P870" s="19">
        <f>O870*4.1%</f>
        <v>28418</v>
      </c>
      <c r="Q870" s="19">
        <f>SUM(O870:P870)</f>
        <v>721547</v>
      </c>
      <c r="R870" s="6">
        <f>Q870*0.7%</f>
        <v>5051</v>
      </c>
      <c r="S870" s="6"/>
      <c r="T870" s="6"/>
      <c r="U870" s="126">
        <f>Q870*$U$4</f>
        <v>3519</v>
      </c>
      <c r="V870" s="126">
        <f>Q870*$V$4</f>
        <v>808</v>
      </c>
      <c r="W870" s="6"/>
      <c r="X870" s="6"/>
      <c r="Y870" s="6"/>
      <c r="Z870" s="6"/>
      <c r="AA870" s="19">
        <f>SUM(Q870:Z870)</f>
        <v>730925</v>
      </c>
      <c r="AB870" s="19">
        <f>$AA870*AB$7</f>
        <v>787659</v>
      </c>
      <c r="AC870" s="15">
        <f>AB870/D870</f>
        <v>750.15</v>
      </c>
      <c r="AD870" s="15">
        <f>AC870*D870</f>
        <v>787657.5</v>
      </c>
      <c r="AE870" s="25"/>
      <c r="AF870" s="157">
        <f t="shared" si="549"/>
        <v>-1.5</v>
      </c>
    </row>
    <row r="871" spans="1:32" s="4" customFormat="1" ht="25.5" x14ac:dyDescent="0.25">
      <c r="A871" s="64" t="s">
        <v>1375</v>
      </c>
      <c r="B871" s="55" t="s">
        <v>539</v>
      </c>
      <c r="C871" s="46" t="s">
        <v>72</v>
      </c>
      <c r="D871" s="47">
        <f>700+350</f>
        <v>1050</v>
      </c>
      <c r="E871" s="45">
        <f t="shared" ref="E871:E874" si="561">H871/D871</f>
        <v>113.65</v>
      </c>
      <c r="F871" s="45"/>
      <c r="G871" s="45"/>
      <c r="H871" s="44">
        <v>119335</v>
      </c>
      <c r="I871" s="15"/>
      <c r="J871" s="15"/>
      <c r="K871" s="15"/>
      <c r="L871" s="15"/>
      <c r="M871" s="44"/>
      <c r="N871" s="44"/>
      <c r="O871" s="44">
        <f t="shared" ref="O871:O874" si="562">H871*9.12</f>
        <v>1088335</v>
      </c>
      <c r="P871" s="19">
        <f t="shared" ref="P871:P874" si="563">O871*4.1%</f>
        <v>44622</v>
      </c>
      <c r="Q871" s="19">
        <f t="shared" ref="Q871:Q874" si="564">SUM(O871:P871)</f>
        <v>1132957</v>
      </c>
      <c r="R871" s="6">
        <f t="shared" ref="R871:R874" si="565">Q871*0.7%</f>
        <v>7931</v>
      </c>
      <c r="S871" s="6"/>
      <c r="T871" s="6"/>
      <c r="U871" s="126">
        <f t="shared" ref="U871:U874" si="566">Q871*$U$4</f>
        <v>5526</v>
      </c>
      <c r="V871" s="126">
        <f t="shared" ref="V871:V874" si="567">Q871*$V$4</f>
        <v>1268</v>
      </c>
      <c r="W871" s="6"/>
      <c r="X871" s="6"/>
      <c r="Y871" s="6"/>
      <c r="Z871" s="6"/>
      <c r="AA871" s="19">
        <f t="shared" ref="AA871:AA874" si="568">SUM(Q871:Z871)</f>
        <v>1147682</v>
      </c>
      <c r="AB871" s="19">
        <f t="shared" ref="AB871:AB874" si="569">$AA871*AB$7</f>
        <v>1236765</v>
      </c>
      <c r="AC871" s="15">
        <f>AB871/D871</f>
        <v>1177.8699999999999</v>
      </c>
      <c r="AD871" s="15">
        <f>AC871*D871</f>
        <v>1236763.5</v>
      </c>
      <c r="AE871" s="25"/>
      <c r="AF871" s="157">
        <f t="shared" si="549"/>
        <v>-1.5</v>
      </c>
    </row>
    <row r="872" spans="1:32" s="4" customFormat="1" x14ac:dyDescent="0.25">
      <c r="A872" s="64" t="s">
        <v>1376</v>
      </c>
      <c r="B872" s="55" t="s">
        <v>561</v>
      </c>
      <c r="C872" s="46" t="s">
        <v>70</v>
      </c>
      <c r="D872" s="47">
        <f>1436+795</f>
        <v>2231</v>
      </c>
      <c r="E872" s="45">
        <f t="shared" si="561"/>
        <v>346.73</v>
      </c>
      <c r="F872" s="45"/>
      <c r="G872" s="45"/>
      <c r="H872" s="44">
        <v>773560</v>
      </c>
      <c r="I872" s="15"/>
      <c r="J872" s="15"/>
      <c r="K872" s="15"/>
      <c r="L872" s="15"/>
      <c r="M872" s="44"/>
      <c r="N872" s="44"/>
      <c r="O872" s="44">
        <f t="shared" si="562"/>
        <v>7054867</v>
      </c>
      <c r="P872" s="19">
        <f t="shared" si="563"/>
        <v>289250</v>
      </c>
      <c r="Q872" s="19">
        <f t="shared" si="564"/>
        <v>7344117</v>
      </c>
      <c r="R872" s="6">
        <f t="shared" si="565"/>
        <v>51409</v>
      </c>
      <c r="S872" s="6"/>
      <c r="T872" s="6"/>
      <c r="U872" s="126">
        <f t="shared" si="566"/>
        <v>35820</v>
      </c>
      <c r="V872" s="126">
        <f t="shared" si="567"/>
        <v>8221</v>
      </c>
      <c r="W872" s="6"/>
      <c r="X872" s="6"/>
      <c r="Y872" s="6"/>
      <c r="Z872" s="6"/>
      <c r="AA872" s="19">
        <f t="shared" si="568"/>
        <v>7439567</v>
      </c>
      <c r="AB872" s="19">
        <f t="shared" si="569"/>
        <v>8017026</v>
      </c>
      <c r="AC872" s="15">
        <f>AB872/D872</f>
        <v>3593.47</v>
      </c>
      <c r="AD872" s="15">
        <f>AC872*D872</f>
        <v>8017031.5700000003</v>
      </c>
      <c r="AE872" s="25"/>
      <c r="AF872" s="157">
        <f t="shared" si="549"/>
        <v>5.57</v>
      </c>
    </row>
    <row r="873" spans="1:32" s="4" customFormat="1" ht="25.5" x14ac:dyDescent="0.25">
      <c r="A873" s="64" t="s">
        <v>1377</v>
      </c>
      <c r="B873" s="55" t="s">
        <v>562</v>
      </c>
      <c r="C873" s="46" t="s">
        <v>72</v>
      </c>
      <c r="D873" s="47">
        <v>218</v>
      </c>
      <c r="E873" s="45">
        <f t="shared" si="561"/>
        <v>87.03</v>
      </c>
      <c r="F873" s="45"/>
      <c r="G873" s="45"/>
      <c r="H873" s="44">
        <v>18972</v>
      </c>
      <c r="I873" s="15"/>
      <c r="J873" s="15"/>
      <c r="K873" s="15"/>
      <c r="L873" s="15"/>
      <c r="M873" s="44"/>
      <c r="N873" s="44"/>
      <c r="O873" s="44">
        <f t="shared" si="562"/>
        <v>173025</v>
      </c>
      <c r="P873" s="19">
        <f t="shared" si="563"/>
        <v>7094</v>
      </c>
      <c r="Q873" s="19">
        <f t="shared" si="564"/>
        <v>180119</v>
      </c>
      <c r="R873" s="6">
        <f t="shared" si="565"/>
        <v>1261</v>
      </c>
      <c r="S873" s="6"/>
      <c r="T873" s="6"/>
      <c r="U873" s="126">
        <f t="shared" si="566"/>
        <v>879</v>
      </c>
      <c r="V873" s="126">
        <f t="shared" si="567"/>
        <v>202</v>
      </c>
      <c r="W873" s="6"/>
      <c r="X873" s="6"/>
      <c r="Y873" s="6"/>
      <c r="Z873" s="6"/>
      <c r="AA873" s="19">
        <f t="shared" si="568"/>
        <v>182461</v>
      </c>
      <c r="AB873" s="19">
        <f t="shared" si="569"/>
        <v>196624</v>
      </c>
      <c r="AC873" s="15">
        <f>AB873/D873</f>
        <v>901.94</v>
      </c>
      <c r="AD873" s="15">
        <f>AC873*D873</f>
        <v>196622.92</v>
      </c>
      <c r="AE873" s="25"/>
      <c r="AF873" s="157">
        <f t="shared" si="549"/>
        <v>-1.08</v>
      </c>
    </row>
    <row r="874" spans="1:32" s="4" customFormat="1" ht="25.5" x14ac:dyDescent="0.25">
      <c r="A874" s="64" t="s">
        <v>1378</v>
      </c>
      <c r="B874" s="55" t="s">
        <v>563</v>
      </c>
      <c r="C874" s="46" t="s">
        <v>72</v>
      </c>
      <c r="D874" s="47">
        <f>488+335</f>
        <v>823</v>
      </c>
      <c r="E874" s="45">
        <f t="shared" si="561"/>
        <v>23.21</v>
      </c>
      <c r="F874" s="45"/>
      <c r="G874" s="45"/>
      <c r="H874" s="44">
        <v>19100</v>
      </c>
      <c r="I874" s="15"/>
      <c r="J874" s="15"/>
      <c r="K874" s="15"/>
      <c r="L874" s="15"/>
      <c r="M874" s="44"/>
      <c r="N874" s="44"/>
      <c r="O874" s="44">
        <f t="shared" si="562"/>
        <v>174192</v>
      </c>
      <c r="P874" s="19">
        <f t="shared" si="563"/>
        <v>7142</v>
      </c>
      <c r="Q874" s="19">
        <f t="shared" si="564"/>
        <v>181334</v>
      </c>
      <c r="R874" s="6">
        <f t="shared" si="565"/>
        <v>1269</v>
      </c>
      <c r="S874" s="6"/>
      <c r="T874" s="6"/>
      <c r="U874" s="126">
        <f t="shared" si="566"/>
        <v>884</v>
      </c>
      <c r="V874" s="126">
        <f t="shared" si="567"/>
        <v>203</v>
      </c>
      <c r="W874" s="6"/>
      <c r="X874" s="6"/>
      <c r="Y874" s="6"/>
      <c r="Z874" s="6"/>
      <c r="AA874" s="19">
        <f t="shared" si="568"/>
        <v>183690</v>
      </c>
      <c r="AB874" s="19">
        <f t="shared" si="569"/>
        <v>197948</v>
      </c>
      <c r="AC874" s="15">
        <f>AB874/D874</f>
        <v>240.52</v>
      </c>
      <c r="AD874" s="15">
        <f>AC874*D874</f>
        <v>197947.96</v>
      </c>
      <c r="AE874" s="25"/>
      <c r="AF874" s="157">
        <f t="shared" si="549"/>
        <v>-0.04</v>
      </c>
    </row>
    <row r="875" spans="1:32" s="4" customFormat="1" x14ac:dyDescent="0.25">
      <c r="A875" s="23" t="s">
        <v>188</v>
      </c>
      <c r="B875" s="11" t="s">
        <v>189</v>
      </c>
      <c r="C875" s="24"/>
      <c r="D875" s="52"/>
      <c r="E875" s="14"/>
      <c r="F875" s="14"/>
      <c r="G875" s="14"/>
      <c r="H875" s="22"/>
      <c r="I875" s="15"/>
      <c r="J875" s="15"/>
      <c r="K875" s="15"/>
      <c r="L875" s="15"/>
      <c r="M875" s="22"/>
      <c r="N875" s="22"/>
      <c r="O875" s="22"/>
      <c r="P875" s="19"/>
      <c r="Q875" s="19"/>
      <c r="R875" s="6"/>
      <c r="S875" s="6"/>
      <c r="T875" s="6"/>
      <c r="U875" s="6"/>
      <c r="V875" s="6"/>
      <c r="W875" s="6"/>
      <c r="X875" s="6"/>
      <c r="Y875" s="6"/>
      <c r="Z875" s="6"/>
      <c r="AA875" s="19"/>
      <c r="AB875" s="19"/>
      <c r="AC875" s="15"/>
      <c r="AD875" s="15"/>
      <c r="AE875" s="25"/>
      <c r="AF875" s="157">
        <f t="shared" si="549"/>
        <v>0</v>
      </c>
    </row>
    <row r="876" spans="1:32" s="91" customFormat="1" ht="25.5" x14ac:dyDescent="0.25">
      <c r="A876" s="87" t="s">
        <v>190</v>
      </c>
      <c r="B876" s="88" t="s">
        <v>191</v>
      </c>
      <c r="C876" s="169"/>
      <c r="D876" s="93"/>
      <c r="E876" s="94"/>
      <c r="F876" s="94"/>
      <c r="G876" s="94"/>
      <c r="H876" s="111">
        <f>8251410-1487.11*1000</f>
        <v>6764300</v>
      </c>
      <c r="I876" s="20">
        <f>1487.11*1000</f>
        <v>1487110</v>
      </c>
      <c r="J876" s="20">
        <f>8251.41*1000</f>
        <v>8251410</v>
      </c>
      <c r="K876" s="20" t="s">
        <v>192</v>
      </c>
      <c r="L876" s="20">
        <f>J876-H876-I876</f>
        <v>0</v>
      </c>
      <c r="M876" s="95">
        <f>69423500-7733010</f>
        <v>61690490</v>
      </c>
      <c r="N876" s="50">
        <f>SUM(O877:O889)-M876</f>
        <v>-20</v>
      </c>
      <c r="O876" s="95"/>
      <c r="P876" s="50"/>
      <c r="Q876" s="50"/>
      <c r="R876" s="50"/>
      <c r="S876" s="30"/>
      <c r="T876" s="30"/>
      <c r="U876" s="30"/>
      <c r="V876" s="30"/>
      <c r="W876" s="30"/>
      <c r="X876" s="30"/>
      <c r="Y876" s="30"/>
      <c r="Z876" s="30"/>
      <c r="AA876" s="50"/>
      <c r="AB876" s="50"/>
      <c r="AC876" s="20"/>
      <c r="AD876" s="20"/>
      <c r="AE876" s="97"/>
      <c r="AF876" s="157">
        <f t="shared" si="549"/>
        <v>0</v>
      </c>
    </row>
    <row r="877" spans="1:32" s="4" customFormat="1" ht="25.5" x14ac:dyDescent="0.25">
      <c r="A877" s="64" t="s">
        <v>193</v>
      </c>
      <c r="B877" s="55" t="s">
        <v>1485</v>
      </c>
      <c r="C877" s="46" t="s">
        <v>83</v>
      </c>
      <c r="D877" s="47">
        <v>1</v>
      </c>
      <c r="E877" s="45">
        <v>190938</v>
      </c>
      <c r="F877" s="45"/>
      <c r="G877" s="45"/>
      <c r="H877" s="44">
        <f>383565-I877</f>
        <v>196642</v>
      </c>
      <c r="I877" s="19">
        <v>186923</v>
      </c>
      <c r="J877" s="15"/>
      <c r="K877" s="15"/>
      <c r="L877" s="15"/>
      <c r="M877" s="44"/>
      <c r="N877" s="44"/>
      <c r="O877" s="44">
        <f>(H877)*9.12</f>
        <v>1793375</v>
      </c>
      <c r="P877" s="19">
        <f>(O877)*4.1%</f>
        <v>73528</v>
      </c>
      <c r="Q877" s="19">
        <f>SUM(O877:P877)</f>
        <v>1866903</v>
      </c>
      <c r="R877" s="6">
        <f>(Q877)*0.42%</f>
        <v>7841</v>
      </c>
      <c r="S877" s="6"/>
      <c r="T877" s="6"/>
      <c r="U877" s="6"/>
      <c r="V877" s="6"/>
      <c r="W877" s="6"/>
      <c r="X877" s="6"/>
      <c r="Y877" s="6"/>
      <c r="Z877" s="6">
        <f>I877*5.2</f>
        <v>972000</v>
      </c>
      <c r="AA877" s="19">
        <f>SUM(Q877:Z877)</f>
        <v>2846744</v>
      </c>
      <c r="AB877" s="19">
        <f>$AA877*AB$7</f>
        <v>3067708</v>
      </c>
      <c r="AC877" s="15">
        <f>AB877/D877</f>
        <v>3067708</v>
      </c>
      <c r="AD877" s="15">
        <f>AC877*D877</f>
        <v>3067708</v>
      </c>
      <c r="AE877" s="25"/>
      <c r="AF877" s="157">
        <f t="shared" si="549"/>
        <v>0</v>
      </c>
    </row>
    <row r="878" spans="1:32" s="4" customFormat="1" ht="25.5" x14ac:dyDescent="0.25">
      <c r="A878" s="64" t="s">
        <v>1473</v>
      </c>
      <c r="B878" s="55" t="s">
        <v>1486</v>
      </c>
      <c r="C878" s="46" t="s">
        <v>83</v>
      </c>
      <c r="D878" s="47">
        <v>1</v>
      </c>
      <c r="E878" s="45">
        <v>190938</v>
      </c>
      <c r="F878" s="45"/>
      <c r="G878" s="45"/>
      <c r="H878" s="44">
        <f>297573-I878</f>
        <v>175950</v>
      </c>
      <c r="I878" s="19">
        <v>121623</v>
      </c>
      <c r="J878" s="15"/>
      <c r="K878" s="15"/>
      <c r="L878" s="15"/>
      <c r="M878" s="44"/>
      <c r="N878" s="44"/>
      <c r="O878" s="44">
        <f t="shared" ref="O878:O889" si="570">(H878)*9.12</f>
        <v>1604664</v>
      </c>
      <c r="P878" s="19">
        <f t="shared" ref="P878:P889" si="571">(O878)*4.1%</f>
        <v>65791</v>
      </c>
      <c r="Q878" s="19">
        <f t="shared" ref="Q878:Q889" si="572">SUM(O878:P878)</f>
        <v>1670455</v>
      </c>
      <c r="R878" s="6">
        <f t="shared" ref="R878:R889" si="573">(Q878)*0.42%</f>
        <v>7016</v>
      </c>
      <c r="S878" s="6"/>
      <c r="T878" s="6"/>
      <c r="U878" s="6"/>
      <c r="V878" s="6"/>
      <c r="W878" s="6"/>
      <c r="X878" s="6"/>
      <c r="Y878" s="6"/>
      <c r="Z878" s="6">
        <f t="shared" ref="Z878:Z889" si="574">I878*5.2</f>
        <v>632440</v>
      </c>
      <c r="AA878" s="19">
        <f t="shared" ref="AA878:AA889" si="575">SUM(Q878:Z878)</f>
        <v>2309911</v>
      </c>
      <c r="AB878" s="19">
        <f t="shared" ref="AB878:AB889" si="576">$AA878*AB$7</f>
        <v>2489206</v>
      </c>
      <c r="AC878" s="15">
        <f t="shared" ref="AC878:AC889" si="577">AB878/D878</f>
        <v>2489206</v>
      </c>
      <c r="AD878" s="15">
        <f t="shared" ref="AD878:AD889" si="578">AC878*D878</f>
        <v>2489206</v>
      </c>
      <c r="AE878" s="25"/>
      <c r="AF878" s="157">
        <f t="shared" si="549"/>
        <v>0</v>
      </c>
    </row>
    <row r="879" spans="1:32" s="4" customFormat="1" ht="25.5" x14ac:dyDescent="0.25">
      <c r="A879" s="64" t="s">
        <v>1474</v>
      </c>
      <c r="B879" s="55" t="s">
        <v>1487</v>
      </c>
      <c r="C879" s="46" t="s">
        <v>83</v>
      </c>
      <c r="D879" s="47">
        <v>1</v>
      </c>
      <c r="E879" s="45">
        <v>190938</v>
      </c>
      <c r="F879" s="45"/>
      <c r="G879" s="45"/>
      <c r="H879" s="44">
        <f>374233-I879</f>
        <v>243142</v>
      </c>
      <c r="I879" s="19">
        <v>131091</v>
      </c>
      <c r="J879" s="15"/>
      <c r="K879" s="15"/>
      <c r="L879" s="15"/>
      <c r="M879" s="44"/>
      <c r="N879" s="44"/>
      <c r="O879" s="44">
        <f t="shared" si="570"/>
        <v>2217455</v>
      </c>
      <c r="P879" s="19">
        <f t="shared" si="571"/>
        <v>90916</v>
      </c>
      <c r="Q879" s="19">
        <f t="shared" si="572"/>
        <v>2308371</v>
      </c>
      <c r="R879" s="6">
        <f t="shared" si="573"/>
        <v>9695</v>
      </c>
      <c r="S879" s="6"/>
      <c r="T879" s="6"/>
      <c r="U879" s="6"/>
      <c r="V879" s="6"/>
      <c r="W879" s="6"/>
      <c r="X879" s="6"/>
      <c r="Y879" s="6"/>
      <c r="Z879" s="6">
        <f t="shared" si="574"/>
        <v>681673</v>
      </c>
      <c r="AA879" s="19">
        <f t="shared" si="575"/>
        <v>2999739</v>
      </c>
      <c r="AB879" s="19">
        <f t="shared" si="576"/>
        <v>3232579</v>
      </c>
      <c r="AC879" s="15">
        <f t="shared" si="577"/>
        <v>3232579</v>
      </c>
      <c r="AD879" s="15">
        <f t="shared" si="578"/>
        <v>3232579</v>
      </c>
      <c r="AE879" s="25"/>
      <c r="AF879" s="157">
        <f t="shared" si="549"/>
        <v>0</v>
      </c>
    </row>
    <row r="880" spans="1:32" s="4" customFormat="1" ht="38.25" x14ac:dyDescent="0.25">
      <c r="A880" s="64" t="s">
        <v>1475</v>
      </c>
      <c r="B880" s="55" t="s">
        <v>1495</v>
      </c>
      <c r="C880" s="46" t="s">
        <v>83</v>
      </c>
      <c r="D880" s="47">
        <v>1</v>
      </c>
      <c r="E880" s="45">
        <v>190938</v>
      </c>
      <c r="F880" s="45"/>
      <c r="G880" s="45"/>
      <c r="H880" s="44">
        <f>596001-I880</f>
        <v>439481</v>
      </c>
      <c r="I880" s="19">
        <v>156520</v>
      </c>
      <c r="J880" s="15"/>
      <c r="K880" s="15"/>
      <c r="L880" s="15"/>
      <c r="M880" s="44"/>
      <c r="N880" s="44"/>
      <c r="O880" s="44">
        <f t="shared" si="570"/>
        <v>4008067</v>
      </c>
      <c r="P880" s="19">
        <f t="shared" si="571"/>
        <v>164331</v>
      </c>
      <c r="Q880" s="19">
        <f t="shared" si="572"/>
        <v>4172398</v>
      </c>
      <c r="R880" s="6">
        <f t="shared" si="573"/>
        <v>17524</v>
      </c>
      <c r="S880" s="6"/>
      <c r="T880" s="6"/>
      <c r="U880" s="6"/>
      <c r="V880" s="6"/>
      <c r="W880" s="6"/>
      <c r="X880" s="6"/>
      <c r="Y880" s="6"/>
      <c r="Z880" s="6">
        <f t="shared" si="574"/>
        <v>813904</v>
      </c>
      <c r="AA880" s="19">
        <f t="shared" si="575"/>
        <v>5003826</v>
      </c>
      <c r="AB880" s="19">
        <f t="shared" si="576"/>
        <v>5392223</v>
      </c>
      <c r="AC880" s="15">
        <f t="shared" si="577"/>
        <v>5392223</v>
      </c>
      <c r="AD880" s="15">
        <f t="shared" si="578"/>
        <v>5392223</v>
      </c>
      <c r="AE880" s="25"/>
      <c r="AF880" s="157">
        <f t="shared" si="549"/>
        <v>0</v>
      </c>
    </row>
    <row r="881" spans="1:32" s="4" customFormat="1" ht="38.25" x14ac:dyDescent="0.25">
      <c r="A881" s="64" t="s">
        <v>1476</v>
      </c>
      <c r="B881" s="55" t="s">
        <v>1496</v>
      </c>
      <c r="C881" s="46" t="s">
        <v>83</v>
      </c>
      <c r="D881" s="47">
        <v>1</v>
      </c>
      <c r="E881" s="45">
        <v>190938</v>
      </c>
      <c r="F881" s="45"/>
      <c r="G881" s="45"/>
      <c r="H881" s="44">
        <f>381040-I881</f>
        <v>292851</v>
      </c>
      <c r="I881" s="19">
        <v>88189</v>
      </c>
      <c r="J881" s="15"/>
      <c r="K881" s="15"/>
      <c r="L881" s="15"/>
      <c r="M881" s="44"/>
      <c r="N881" s="44"/>
      <c r="O881" s="44">
        <f t="shared" si="570"/>
        <v>2670801</v>
      </c>
      <c r="P881" s="19">
        <f t="shared" si="571"/>
        <v>109503</v>
      </c>
      <c r="Q881" s="19">
        <f t="shared" si="572"/>
        <v>2780304</v>
      </c>
      <c r="R881" s="6">
        <f t="shared" si="573"/>
        <v>11677</v>
      </c>
      <c r="S881" s="6"/>
      <c r="T881" s="6"/>
      <c r="U881" s="6"/>
      <c r="V881" s="6"/>
      <c r="W881" s="6"/>
      <c r="X881" s="6"/>
      <c r="Y881" s="6"/>
      <c r="Z881" s="6">
        <f t="shared" si="574"/>
        <v>458583</v>
      </c>
      <c r="AA881" s="19">
        <f t="shared" si="575"/>
        <v>3250564</v>
      </c>
      <c r="AB881" s="19">
        <f t="shared" si="576"/>
        <v>3502873</v>
      </c>
      <c r="AC881" s="15">
        <f t="shared" si="577"/>
        <v>3502873</v>
      </c>
      <c r="AD881" s="15">
        <f t="shared" si="578"/>
        <v>3502873</v>
      </c>
      <c r="AE881" s="25"/>
      <c r="AF881" s="157">
        <f t="shared" ref="AF881" si="579">AD881-AB881</f>
        <v>0</v>
      </c>
    </row>
    <row r="882" spans="1:32" s="4" customFormat="1" ht="38.25" x14ac:dyDescent="0.25">
      <c r="A882" s="64" t="s">
        <v>1477</v>
      </c>
      <c r="B882" s="55" t="s">
        <v>1497</v>
      </c>
      <c r="C882" s="46" t="s">
        <v>83</v>
      </c>
      <c r="D882" s="47">
        <v>1</v>
      </c>
      <c r="E882" s="45">
        <v>190938</v>
      </c>
      <c r="F882" s="45"/>
      <c r="G882" s="45"/>
      <c r="H882" s="44">
        <f>372186-I882</f>
        <v>283997</v>
      </c>
      <c r="I882" s="19">
        <v>88189</v>
      </c>
      <c r="J882" s="15"/>
      <c r="K882" s="15"/>
      <c r="L882" s="15"/>
      <c r="M882" s="44"/>
      <c r="N882" s="44"/>
      <c r="O882" s="44">
        <f t="shared" si="570"/>
        <v>2590053</v>
      </c>
      <c r="P882" s="19">
        <f t="shared" si="571"/>
        <v>106192</v>
      </c>
      <c r="Q882" s="19">
        <f t="shared" si="572"/>
        <v>2696245</v>
      </c>
      <c r="R882" s="6">
        <f t="shared" si="573"/>
        <v>11324</v>
      </c>
      <c r="S882" s="6"/>
      <c r="T882" s="6"/>
      <c r="U882" s="6"/>
      <c r="V882" s="6"/>
      <c r="W882" s="6"/>
      <c r="X882" s="6"/>
      <c r="Y882" s="6"/>
      <c r="Z882" s="6">
        <f t="shared" si="574"/>
        <v>458583</v>
      </c>
      <c r="AA882" s="19">
        <f t="shared" si="575"/>
        <v>3166152</v>
      </c>
      <c r="AB882" s="19">
        <f t="shared" si="576"/>
        <v>3411909</v>
      </c>
      <c r="AC882" s="15">
        <f t="shared" si="577"/>
        <v>3411909</v>
      </c>
      <c r="AD882" s="15">
        <f t="shared" si="578"/>
        <v>3411909</v>
      </c>
      <c r="AE882" s="25"/>
      <c r="AF882" s="157">
        <f t="shared" si="549"/>
        <v>0</v>
      </c>
    </row>
    <row r="883" spans="1:32" s="4" customFormat="1" ht="25.5" x14ac:dyDescent="0.25">
      <c r="A883" s="64" t="s">
        <v>1478</v>
      </c>
      <c r="B883" s="55" t="s">
        <v>1488</v>
      </c>
      <c r="C883" s="46" t="s">
        <v>83</v>
      </c>
      <c r="D883" s="47">
        <v>1</v>
      </c>
      <c r="E883" s="45">
        <v>190938</v>
      </c>
      <c r="F883" s="45"/>
      <c r="G883" s="45"/>
      <c r="H883" s="44">
        <f>2217258-I883</f>
        <v>2214890</v>
      </c>
      <c r="I883" s="19">
        <v>2368</v>
      </c>
      <c r="J883" s="15"/>
      <c r="K883" s="15"/>
      <c r="L883" s="15"/>
      <c r="M883" s="44"/>
      <c r="N883" s="44"/>
      <c r="O883" s="44">
        <f t="shared" si="570"/>
        <v>20199797</v>
      </c>
      <c r="P883" s="19">
        <f t="shared" si="571"/>
        <v>828192</v>
      </c>
      <c r="Q883" s="19">
        <f t="shared" si="572"/>
        <v>21027989</v>
      </c>
      <c r="R883" s="6">
        <f t="shared" si="573"/>
        <v>88318</v>
      </c>
      <c r="S883" s="6"/>
      <c r="T883" s="6"/>
      <c r="U883" s="6"/>
      <c r="V883" s="6"/>
      <c r="W883" s="6"/>
      <c r="X883" s="6"/>
      <c r="Y883" s="6"/>
      <c r="Z883" s="6">
        <f t="shared" si="574"/>
        <v>12314</v>
      </c>
      <c r="AA883" s="19">
        <f t="shared" si="575"/>
        <v>21128621</v>
      </c>
      <c r="AB883" s="19">
        <f t="shared" si="576"/>
        <v>22768625</v>
      </c>
      <c r="AC883" s="15">
        <f t="shared" si="577"/>
        <v>22768625</v>
      </c>
      <c r="AD883" s="15">
        <f t="shared" si="578"/>
        <v>22768625</v>
      </c>
      <c r="AE883" s="25"/>
      <c r="AF883" s="157">
        <f t="shared" ref="AF883:AF886" si="580">AD883-AB883</f>
        <v>0</v>
      </c>
    </row>
    <row r="884" spans="1:32" s="4" customFormat="1" ht="25.5" x14ac:dyDescent="0.25">
      <c r="A884" s="64" t="s">
        <v>1479</v>
      </c>
      <c r="B884" s="55" t="s">
        <v>1489</v>
      </c>
      <c r="C884" s="46" t="s">
        <v>83</v>
      </c>
      <c r="D884" s="47">
        <v>1</v>
      </c>
      <c r="E884" s="45">
        <v>190938</v>
      </c>
      <c r="F884" s="45"/>
      <c r="G884" s="45"/>
      <c r="H884" s="44">
        <f>1133844-I884</f>
        <v>573961</v>
      </c>
      <c r="I884" s="19">
        <v>559883</v>
      </c>
      <c r="J884" s="15"/>
      <c r="K884" s="15"/>
      <c r="L884" s="15"/>
      <c r="M884" s="44"/>
      <c r="N884" s="44"/>
      <c r="O884" s="44">
        <f t="shared" si="570"/>
        <v>5234524</v>
      </c>
      <c r="P884" s="19">
        <f t="shared" si="571"/>
        <v>214615</v>
      </c>
      <c r="Q884" s="19">
        <f t="shared" si="572"/>
        <v>5449139</v>
      </c>
      <c r="R884" s="6">
        <f t="shared" si="573"/>
        <v>22886</v>
      </c>
      <c r="S884" s="6"/>
      <c r="T884" s="6"/>
      <c r="U884" s="6"/>
      <c r="V884" s="6"/>
      <c r="W884" s="6"/>
      <c r="X884" s="6"/>
      <c r="Y884" s="6"/>
      <c r="Z884" s="6">
        <f t="shared" si="574"/>
        <v>2911392</v>
      </c>
      <c r="AA884" s="19">
        <f t="shared" si="575"/>
        <v>8383417</v>
      </c>
      <c r="AB884" s="19">
        <f t="shared" si="576"/>
        <v>9034138</v>
      </c>
      <c r="AC884" s="15">
        <f t="shared" si="577"/>
        <v>9034138</v>
      </c>
      <c r="AD884" s="15">
        <f t="shared" si="578"/>
        <v>9034138</v>
      </c>
      <c r="AE884" s="25"/>
      <c r="AF884" s="157">
        <f t="shared" si="580"/>
        <v>0</v>
      </c>
    </row>
    <row r="885" spans="1:32" s="4" customFormat="1" ht="25.5" x14ac:dyDescent="0.25">
      <c r="A885" s="64" t="s">
        <v>1480</v>
      </c>
      <c r="B885" s="55" t="s">
        <v>1490</v>
      </c>
      <c r="C885" s="46" t="s">
        <v>83</v>
      </c>
      <c r="D885" s="47">
        <v>1</v>
      </c>
      <c r="E885" s="45">
        <v>190938</v>
      </c>
      <c r="F885" s="45"/>
      <c r="G885" s="45"/>
      <c r="H885" s="44">
        <v>495110</v>
      </c>
      <c r="I885" s="19"/>
      <c r="J885" s="15"/>
      <c r="K885" s="15"/>
      <c r="L885" s="15"/>
      <c r="M885" s="44"/>
      <c r="N885" s="44"/>
      <c r="O885" s="44">
        <f t="shared" si="570"/>
        <v>4515403</v>
      </c>
      <c r="P885" s="19">
        <f t="shared" si="571"/>
        <v>185132</v>
      </c>
      <c r="Q885" s="19">
        <f t="shared" si="572"/>
        <v>4700535</v>
      </c>
      <c r="R885" s="6">
        <f t="shared" si="573"/>
        <v>19742</v>
      </c>
      <c r="S885" s="6"/>
      <c r="T885" s="6"/>
      <c r="U885" s="6"/>
      <c r="V885" s="6"/>
      <c r="W885" s="6"/>
      <c r="X885" s="6"/>
      <c r="Y885" s="6"/>
      <c r="Z885" s="6">
        <f t="shared" si="574"/>
        <v>0</v>
      </c>
      <c r="AA885" s="19">
        <f t="shared" si="575"/>
        <v>4720277</v>
      </c>
      <c r="AB885" s="19">
        <f t="shared" si="576"/>
        <v>5086665</v>
      </c>
      <c r="AC885" s="15">
        <f t="shared" si="577"/>
        <v>5086665</v>
      </c>
      <c r="AD885" s="15">
        <f t="shared" si="578"/>
        <v>5086665</v>
      </c>
      <c r="AE885" s="25"/>
      <c r="AF885" s="157">
        <f t="shared" si="580"/>
        <v>0</v>
      </c>
    </row>
    <row r="886" spans="1:32" s="4" customFormat="1" ht="25.5" x14ac:dyDescent="0.25">
      <c r="A886" s="64" t="s">
        <v>1481</v>
      </c>
      <c r="B886" s="55" t="s">
        <v>1491</v>
      </c>
      <c r="C886" s="46" t="s">
        <v>83</v>
      </c>
      <c r="D886" s="47">
        <v>1</v>
      </c>
      <c r="E886" s="45">
        <v>190938</v>
      </c>
      <c r="F886" s="45"/>
      <c r="G886" s="45"/>
      <c r="H886" s="44">
        <v>48519</v>
      </c>
      <c r="I886" s="19"/>
      <c r="J886" s="15"/>
      <c r="K886" s="15"/>
      <c r="L886" s="15"/>
      <c r="M886" s="44"/>
      <c r="N886" s="44"/>
      <c r="O886" s="44">
        <f t="shared" si="570"/>
        <v>442493</v>
      </c>
      <c r="P886" s="19">
        <f t="shared" si="571"/>
        <v>18142</v>
      </c>
      <c r="Q886" s="19">
        <f t="shared" si="572"/>
        <v>460635</v>
      </c>
      <c r="R886" s="6">
        <f t="shared" si="573"/>
        <v>1935</v>
      </c>
      <c r="S886" s="6"/>
      <c r="T886" s="6"/>
      <c r="U886" s="6"/>
      <c r="V886" s="6"/>
      <c r="W886" s="6"/>
      <c r="X886" s="6"/>
      <c r="Y886" s="6"/>
      <c r="Z886" s="6">
        <f t="shared" si="574"/>
        <v>0</v>
      </c>
      <c r="AA886" s="19">
        <f t="shared" si="575"/>
        <v>462570</v>
      </c>
      <c r="AB886" s="19">
        <f t="shared" si="576"/>
        <v>498475</v>
      </c>
      <c r="AC886" s="15">
        <f t="shared" si="577"/>
        <v>498475</v>
      </c>
      <c r="AD886" s="15">
        <f t="shared" si="578"/>
        <v>498475</v>
      </c>
      <c r="AE886" s="25"/>
      <c r="AF886" s="157">
        <f t="shared" si="580"/>
        <v>0</v>
      </c>
    </row>
    <row r="887" spans="1:32" s="4" customFormat="1" ht="25.5" x14ac:dyDescent="0.25">
      <c r="A887" s="64" t="s">
        <v>1482</v>
      </c>
      <c r="B887" s="55" t="s">
        <v>1492</v>
      </c>
      <c r="C887" s="46" t="s">
        <v>83</v>
      </c>
      <c r="D887" s="47">
        <v>1</v>
      </c>
      <c r="E887" s="45">
        <v>190938</v>
      </c>
      <c r="F887" s="45"/>
      <c r="G887" s="45"/>
      <c r="H887" s="44">
        <v>139291</v>
      </c>
      <c r="I887" s="19"/>
      <c r="J887" s="15"/>
      <c r="K887" s="15"/>
      <c r="L887" s="15"/>
      <c r="M887" s="44"/>
      <c r="N887" s="44"/>
      <c r="O887" s="44">
        <f t="shared" si="570"/>
        <v>1270334</v>
      </c>
      <c r="P887" s="19">
        <f t="shared" si="571"/>
        <v>52084</v>
      </c>
      <c r="Q887" s="19">
        <f t="shared" si="572"/>
        <v>1322418</v>
      </c>
      <c r="R887" s="6">
        <f t="shared" si="573"/>
        <v>5554</v>
      </c>
      <c r="S887" s="6"/>
      <c r="T887" s="6"/>
      <c r="U887" s="6"/>
      <c r="V887" s="6"/>
      <c r="W887" s="6"/>
      <c r="X887" s="6"/>
      <c r="Y887" s="6"/>
      <c r="Z887" s="6">
        <f t="shared" si="574"/>
        <v>0</v>
      </c>
      <c r="AA887" s="19">
        <f t="shared" si="575"/>
        <v>1327972</v>
      </c>
      <c r="AB887" s="19">
        <f t="shared" si="576"/>
        <v>1431049</v>
      </c>
      <c r="AC887" s="15">
        <f t="shared" si="577"/>
        <v>1431049</v>
      </c>
      <c r="AD887" s="15">
        <f t="shared" si="578"/>
        <v>1431049</v>
      </c>
      <c r="AE887" s="25"/>
      <c r="AF887" s="157">
        <f t="shared" si="549"/>
        <v>0</v>
      </c>
    </row>
    <row r="888" spans="1:32" s="4" customFormat="1" ht="25.5" x14ac:dyDescent="0.25">
      <c r="A888" s="64" t="s">
        <v>1483</v>
      </c>
      <c r="B888" s="55" t="s">
        <v>1493</v>
      </c>
      <c r="C888" s="46" t="s">
        <v>83</v>
      </c>
      <c r="D888" s="47">
        <v>1</v>
      </c>
      <c r="E888" s="45">
        <v>190938</v>
      </c>
      <c r="F888" s="45"/>
      <c r="G888" s="45"/>
      <c r="H888" s="44">
        <v>254043</v>
      </c>
      <c r="I888" s="19"/>
      <c r="J888" s="15"/>
      <c r="K888" s="15"/>
      <c r="L888" s="15"/>
      <c r="M888" s="44"/>
      <c r="N888" s="44"/>
      <c r="O888" s="44">
        <f t="shared" si="570"/>
        <v>2316872</v>
      </c>
      <c r="P888" s="19">
        <f t="shared" si="571"/>
        <v>94992</v>
      </c>
      <c r="Q888" s="19">
        <f t="shared" si="572"/>
        <v>2411864</v>
      </c>
      <c r="R888" s="6">
        <f t="shared" si="573"/>
        <v>10130</v>
      </c>
      <c r="S888" s="6"/>
      <c r="T888" s="6"/>
      <c r="U888" s="6"/>
      <c r="V888" s="6"/>
      <c r="W888" s="6"/>
      <c r="X888" s="6"/>
      <c r="Y888" s="6"/>
      <c r="Z888" s="6">
        <f t="shared" si="574"/>
        <v>0</v>
      </c>
      <c r="AA888" s="19">
        <f t="shared" si="575"/>
        <v>2421994</v>
      </c>
      <c r="AB888" s="19">
        <f t="shared" si="576"/>
        <v>2609989</v>
      </c>
      <c r="AC888" s="15">
        <f t="shared" si="577"/>
        <v>2609989</v>
      </c>
      <c r="AD888" s="15">
        <f t="shared" si="578"/>
        <v>2609989</v>
      </c>
      <c r="AE888" s="25"/>
      <c r="AF888" s="157">
        <f t="shared" ref="AF888" si="581">AD888-AB888</f>
        <v>0</v>
      </c>
    </row>
    <row r="889" spans="1:32" s="4" customFormat="1" ht="25.5" x14ac:dyDescent="0.25">
      <c r="A889" s="64" t="s">
        <v>1484</v>
      </c>
      <c r="B889" s="55" t="s">
        <v>1494</v>
      </c>
      <c r="C889" s="46" t="s">
        <v>83</v>
      </c>
      <c r="D889" s="47">
        <v>1</v>
      </c>
      <c r="E889" s="45">
        <v>190938</v>
      </c>
      <c r="F889" s="45"/>
      <c r="G889" s="45"/>
      <c r="H889" s="44">
        <f>1558761-I889</f>
        <v>1406429</v>
      </c>
      <c r="I889" s="19">
        <v>152332</v>
      </c>
      <c r="J889" s="15"/>
      <c r="K889" s="15"/>
      <c r="L889" s="15"/>
      <c r="M889" s="44"/>
      <c r="N889" s="44"/>
      <c r="O889" s="44">
        <f t="shared" si="570"/>
        <v>12826632</v>
      </c>
      <c r="P889" s="19">
        <f t="shared" si="571"/>
        <v>525892</v>
      </c>
      <c r="Q889" s="19">
        <f t="shared" si="572"/>
        <v>13352524</v>
      </c>
      <c r="R889" s="6">
        <f t="shared" si="573"/>
        <v>56081</v>
      </c>
      <c r="S889" s="6"/>
      <c r="T889" s="6"/>
      <c r="U889" s="6"/>
      <c r="V889" s="6"/>
      <c r="W889" s="6"/>
      <c r="X889" s="6"/>
      <c r="Y889" s="6"/>
      <c r="Z889" s="6">
        <f t="shared" si="574"/>
        <v>792126</v>
      </c>
      <c r="AA889" s="19">
        <f t="shared" si="575"/>
        <v>14200731</v>
      </c>
      <c r="AB889" s="19">
        <f t="shared" si="576"/>
        <v>15302992</v>
      </c>
      <c r="AC889" s="15">
        <f t="shared" si="577"/>
        <v>15302992</v>
      </c>
      <c r="AD889" s="15">
        <f t="shared" si="578"/>
        <v>15302992</v>
      </c>
      <c r="AE889" s="25"/>
      <c r="AF889" s="157">
        <f t="shared" ref="AF889" si="582">AD889-AB889</f>
        <v>0</v>
      </c>
    </row>
    <row r="890" spans="1:32" s="4" customFormat="1" ht="25.5" x14ac:dyDescent="0.25">
      <c r="A890" s="23" t="s">
        <v>194</v>
      </c>
      <c r="B890" s="11" t="s">
        <v>195</v>
      </c>
      <c r="C890" s="12"/>
      <c r="D890" s="13"/>
      <c r="E890" s="14"/>
      <c r="F890" s="14"/>
      <c r="G890" s="14"/>
      <c r="H890" s="22"/>
      <c r="I890" s="15"/>
      <c r="J890" s="15"/>
      <c r="K890" s="15"/>
      <c r="L890" s="15"/>
      <c r="M890" s="22"/>
      <c r="N890" s="22"/>
      <c r="O890" s="22"/>
      <c r="P890" s="19"/>
      <c r="Q890" s="19"/>
      <c r="R890" s="6"/>
      <c r="S890" s="6"/>
      <c r="T890" s="6"/>
      <c r="U890" s="6"/>
      <c r="V890" s="6"/>
      <c r="W890" s="6"/>
      <c r="X890" s="6"/>
      <c r="Y890" s="6"/>
      <c r="Z890" s="6"/>
      <c r="AA890" s="19"/>
      <c r="AB890" s="19"/>
      <c r="AC890" s="15"/>
      <c r="AD890" s="15"/>
      <c r="AE890" s="25"/>
      <c r="AF890" s="157">
        <f t="shared" si="549"/>
        <v>0</v>
      </c>
    </row>
    <row r="891" spans="1:32" s="91" customFormat="1" x14ac:dyDescent="0.25">
      <c r="A891" s="87" t="s">
        <v>196</v>
      </c>
      <c r="B891" s="88" t="s">
        <v>197</v>
      </c>
      <c r="C891" s="92"/>
      <c r="D891" s="93"/>
      <c r="E891" s="94"/>
      <c r="F891" s="94"/>
      <c r="G891" s="94"/>
      <c r="H891" s="111">
        <f>3496860-2733.08*1000</f>
        <v>763780</v>
      </c>
      <c r="I891" s="20">
        <f>2733.08*1000</f>
        <v>2733080</v>
      </c>
      <c r="J891" s="20">
        <f>3496.86*1000</f>
        <v>3496860</v>
      </c>
      <c r="K891" s="20" t="s">
        <v>30</v>
      </c>
      <c r="L891" s="20">
        <f>J891-H891-I891</f>
        <v>0</v>
      </c>
      <c r="M891" s="95">
        <f>21177610-14212000</f>
        <v>6965610</v>
      </c>
      <c r="N891" s="50">
        <f>SUM(O892:O894)-M891</f>
        <v>0</v>
      </c>
      <c r="O891" s="95"/>
      <c r="P891" s="50"/>
      <c r="Q891" s="50"/>
      <c r="R891" s="50"/>
      <c r="S891" s="30"/>
      <c r="T891" s="30"/>
      <c r="U891" s="126"/>
      <c r="V891" s="131"/>
      <c r="W891" s="30"/>
      <c r="X891" s="30"/>
      <c r="Y891" s="30"/>
      <c r="Z891" s="30"/>
      <c r="AA891" s="50"/>
      <c r="AB891" s="50"/>
      <c r="AC891" s="20"/>
      <c r="AD891" s="20"/>
      <c r="AE891" s="97"/>
      <c r="AF891" s="157">
        <f t="shared" si="549"/>
        <v>0</v>
      </c>
    </row>
    <row r="892" spans="1:32" s="4" customFormat="1" x14ac:dyDescent="0.25">
      <c r="A892" s="64" t="s">
        <v>198</v>
      </c>
      <c r="B892" s="55" t="s">
        <v>859</v>
      </c>
      <c r="C892" s="46" t="s">
        <v>83</v>
      </c>
      <c r="D892" s="47">
        <v>1</v>
      </c>
      <c r="E892" s="45">
        <f>H892/D892</f>
        <v>238530</v>
      </c>
      <c r="F892" s="45"/>
      <c r="G892" s="45"/>
      <c r="H892" s="44">
        <f>1064011.13-I892</f>
        <v>238530</v>
      </c>
      <c r="I892" s="44">
        <v>825481</v>
      </c>
      <c r="J892" s="15"/>
      <c r="K892" s="15"/>
      <c r="L892" s="15"/>
      <c r="M892" s="44"/>
      <c r="N892" s="44"/>
      <c r="O892" s="44">
        <f>(H892)*9.12</f>
        <v>2175394</v>
      </c>
      <c r="P892" s="19">
        <f>(O892)*4.1%</f>
        <v>89191</v>
      </c>
      <c r="Q892" s="19">
        <f>SUM(O892:P892)</f>
        <v>2264585</v>
      </c>
      <c r="R892" s="6">
        <f>(Q892)*0.77%</f>
        <v>17437</v>
      </c>
      <c r="S892" s="6"/>
      <c r="T892" s="6"/>
      <c r="U892" s="126">
        <f>Q892*$U$4</f>
        <v>11045</v>
      </c>
      <c r="V892" s="131">
        <f>Q892*$V$5</f>
        <v>1264</v>
      </c>
      <c r="W892" s="6"/>
      <c r="X892" s="6"/>
      <c r="Y892" s="6"/>
      <c r="Z892" s="6">
        <f>I892*5.2</f>
        <v>4292501</v>
      </c>
      <c r="AA892" s="19">
        <f>SUM(Q892:Z892)</f>
        <v>6586832</v>
      </c>
      <c r="AB892" s="19">
        <f>$AA892*AB$7</f>
        <v>7098102</v>
      </c>
      <c r="AC892" s="15">
        <f>AB892/D892</f>
        <v>7098102</v>
      </c>
      <c r="AD892" s="15">
        <f>AC892*D892</f>
        <v>7098102</v>
      </c>
      <c r="AE892" s="25"/>
      <c r="AF892" s="157">
        <f t="shared" si="549"/>
        <v>0</v>
      </c>
    </row>
    <row r="893" spans="1:32" s="4" customFormat="1" x14ac:dyDescent="0.25">
      <c r="A893" s="64" t="s">
        <v>727</v>
      </c>
      <c r="B893" s="55" t="s">
        <v>857</v>
      </c>
      <c r="C893" s="46" t="s">
        <v>83</v>
      </c>
      <c r="D893" s="47">
        <v>1</v>
      </c>
      <c r="E893" s="45">
        <f>H893/D893</f>
        <v>386562</v>
      </c>
      <c r="F893" s="45"/>
      <c r="G893" s="45"/>
      <c r="H893" s="44">
        <f>1584735-I893</f>
        <v>386562</v>
      </c>
      <c r="I893" s="19">
        <v>1198173</v>
      </c>
      <c r="J893" s="15"/>
      <c r="K893" s="15"/>
      <c r="L893" s="15"/>
      <c r="M893" s="44"/>
      <c r="N893" s="44"/>
      <c r="O893" s="44">
        <f>(H893)*9.12</f>
        <v>3525445</v>
      </c>
      <c r="P893" s="19">
        <f>(O893)*4.1%</f>
        <v>144543</v>
      </c>
      <c r="Q893" s="19">
        <f>SUM(O893:P893)</f>
        <v>3669988</v>
      </c>
      <c r="R893" s="6">
        <f>(Q893)*0.77%</f>
        <v>28259</v>
      </c>
      <c r="S893" s="6"/>
      <c r="T893" s="6"/>
      <c r="U893" s="126">
        <f>Q893*$U$4</f>
        <v>17900</v>
      </c>
      <c r="V893" s="131">
        <f>Q893*$V$5</f>
        <v>2048</v>
      </c>
      <c r="W893" s="6"/>
      <c r="X893" s="6"/>
      <c r="Y893" s="6"/>
      <c r="Z893" s="6">
        <f>I893*5.2</f>
        <v>6230500</v>
      </c>
      <c r="AA893" s="19">
        <f>SUM(Q893:Z893)</f>
        <v>9948695</v>
      </c>
      <c r="AB893" s="19">
        <f>$AA893*AB$7</f>
        <v>10720913</v>
      </c>
      <c r="AC893" s="15">
        <f>AB893/D893</f>
        <v>10720913</v>
      </c>
      <c r="AD893" s="15">
        <f>AC893*D893</f>
        <v>10720913</v>
      </c>
      <c r="AE893" s="25"/>
      <c r="AF893" s="157">
        <f t="shared" si="549"/>
        <v>0</v>
      </c>
    </row>
    <row r="894" spans="1:32" s="4" customFormat="1" x14ac:dyDescent="0.25">
      <c r="A894" s="64" t="s">
        <v>198</v>
      </c>
      <c r="B894" s="55" t="s">
        <v>858</v>
      </c>
      <c r="C894" s="46" t="s">
        <v>83</v>
      </c>
      <c r="D894" s="47">
        <v>1</v>
      </c>
      <c r="E894" s="45">
        <f>H894/D894</f>
        <v>138681</v>
      </c>
      <c r="F894" s="45"/>
      <c r="G894" s="45"/>
      <c r="H894" s="44">
        <f>848104-I894</f>
        <v>138681</v>
      </c>
      <c r="I894" s="19">
        <v>709423</v>
      </c>
      <c r="J894" s="15"/>
      <c r="K894" s="15"/>
      <c r="L894" s="15"/>
      <c r="M894" s="44"/>
      <c r="N894" s="44"/>
      <c r="O894" s="44">
        <f>(H894)*9.12</f>
        <v>1264771</v>
      </c>
      <c r="P894" s="19">
        <f>(O894)*4.1%</f>
        <v>51856</v>
      </c>
      <c r="Q894" s="19">
        <f>SUM(O894:P894)</f>
        <v>1316627</v>
      </c>
      <c r="R894" s="6">
        <f>(Q894)*0.77%</f>
        <v>10138</v>
      </c>
      <c r="S894" s="6"/>
      <c r="T894" s="6"/>
      <c r="U894" s="126">
        <f>Q894*$U$4</f>
        <v>6422</v>
      </c>
      <c r="V894" s="131">
        <f>Q894*$V$5</f>
        <v>735</v>
      </c>
      <c r="W894" s="6"/>
      <c r="X894" s="6"/>
      <c r="Y894" s="6"/>
      <c r="Z894" s="6">
        <f>I894*5.2</f>
        <v>3689000</v>
      </c>
      <c r="AA894" s="19">
        <f>SUM(Q894:Z894)</f>
        <v>5022922</v>
      </c>
      <c r="AB894" s="19">
        <f>$AA894*AB$7</f>
        <v>5412801</v>
      </c>
      <c r="AC894" s="15">
        <f>AB894/D894</f>
        <v>5412801</v>
      </c>
      <c r="AD894" s="15">
        <f>AC894*D894</f>
        <v>5412801</v>
      </c>
      <c r="AE894" s="25"/>
      <c r="AF894" s="157">
        <f t="shared" si="549"/>
        <v>0</v>
      </c>
    </row>
    <row r="895" spans="1:32" s="51" customFormat="1" x14ac:dyDescent="0.25">
      <c r="A895" s="108" t="s">
        <v>199</v>
      </c>
      <c r="B895" s="88" t="s">
        <v>200</v>
      </c>
      <c r="C895" s="92"/>
      <c r="D895" s="93"/>
      <c r="E895" s="94"/>
      <c r="F895" s="94"/>
      <c r="G895" s="94"/>
      <c r="H895" s="111">
        <v>5284410</v>
      </c>
      <c r="I895" s="20"/>
      <c r="J895" s="20">
        <f>5284.41*1000</f>
        <v>5284410</v>
      </c>
      <c r="K895" s="20" t="s">
        <v>31</v>
      </c>
      <c r="L895" s="20">
        <f>H895-J895</f>
        <v>0</v>
      </c>
      <c r="M895" s="95">
        <v>48193800</v>
      </c>
      <c r="N895" s="50">
        <f>SUM(O897:O914)-M895</f>
        <v>-10</v>
      </c>
      <c r="O895" s="95"/>
      <c r="P895" s="50"/>
      <c r="Q895" s="50"/>
      <c r="R895" s="50"/>
      <c r="S895" s="30"/>
      <c r="T895" s="30"/>
      <c r="U895" s="126"/>
      <c r="V895" s="131"/>
      <c r="W895" s="30"/>
      <c r="X895" s="30"/>
      <c r="Y895" s="30"/>
      <c r="Z895" s="30"/>
      <c r="AA895" s="50"/>
      <c r="AB895" s="50"/>
      <c r="AC895" s="20"/>
      <c r="AD895" s="20"/>
      <c r="AE895" s="97"/>
      <c r="AF895" s="157">
        <f t="shared" si="549"/>
        <v>0</v>
      </c>
    </row>
    <row r="896" spans="1:32" s="43" customFormat="1" x14ac:dyDescent="0.25">
      <c r="A896" s="23" t="s">
        <v>201</v>
      </c>
      <c r="B896" s="17" t="s">
        <v>823</v>
      </c>
      <c r="C896" s="24"/>
      <c r="D896" s="13"/>
      <c r="E896" s="14"/>
      <c r="F896" s="14"/>
      <c r="G896" s="14"/>
      <c r="H896" s="36"/>
      <c r="I896" s="15"/>
      <c r="J896" s="15"/>
      <c r="K896" s="15"/>
      <c r="L896" s="15"/>
      <c r="M896" s="22"/>
      <c r="N896" s="22"/>
      <c r="O896" s="22"/>
      <c r="P896" s="19"/>
      <c r="Q896" s="19"/>
      <c r="R896" s="6"/>
      <c r="S896" s="6"/>
      <c r="T896" s="6"/>
      <c r="U896" s="6"/>
      <c r="V896" s="6"/>
      <c r="W896" s="6"/>
      <c r="X896" s="6"/>
      <c r="Y896" s="6"/>
      <c r="Z896" s="6"/>
      <c r="AA896" s="19"/>
      <c r="AB896" s="19"/>
      <c r="AC896" s="15"/>
      <c r="AD896" s="15"/>
      <c r="AE896" s="25"/>
      <c r="AF896" s="157">
        <f t="shared" si="549"/>
        <v>0</v>
      </c>
    </row>
    <row r="897" spans="1:32" s="4" customFormat="1" x14ac:dyDescent="0.25">
      <c r="A897" s="64" t="s">
        <v>836</v>
      </c>
      <c r="B897" s="55" t="s">
        <v>842</v>
      </c>
      <c r="C897" s="46" t="s">
        <v>82</v>
      </c>
      <c r="D897" s="47">
        <f>27</f>
        <v>27</v>
      </c>
      <c r="E897" s="45">
        <f>H897/D897</f>
        <v>34.78</v>
      </c>
      <c r="F897" s="45"/>
      <c r="G897" s="45"/>
      <c r="H897" s="44">
        <v>939</v>
      </c>
      <c r="I897" s="15"/>
      <c r="J897" s="15"/>
      <c r="K897" s="15"/>
      <c r="L897" s="15"/>
      <c r="M897" s="44"/>
      <c r="N897" s="44"/>
      <c r="O897" s="44">
        <f>H897*9.12</f>
        <v>8564</v>
      </c>
      <c r="P897" s="19">
        <f>O897*4.1%</f>
        <v>351</v>
      </c>
      <c r="Q897" s="19">
        <f>SUM(O897:P897)</f>
        <v>8915</v>
      </c>
      <c r="R897" s="6">
        <f t="shared" ref="R897:R899" si="583">Q897*0.77%</f>
        <v>69</v>
      </c>
      <c r="S897" s="147">
        <f>Q897*$S$5</f>
        <v>13</v>
      </c>
      <c r="T897" s="121">
        <f t="shared" ref="T897:T899" si="584">Q897*$T$7</f>
        <v>9</v>
      </c>
      <c r="U897" s="126">
        <f>Q897*$U$4</f>
        <v>43</v>
      </c>
      <c r="V897" s="126">
        <f t="shared" ref="V897:V913" si="585">Q897*$V$4</f>
        <v>10</v>
      </c>
      <c r="W897" s="6"/>
      <c r="X897" s="6"/>
      <c r="Y897" s="6"/>
      <c r="Z897" s="6"/>
      <c r="AA897" s="19">
        <f>SUM(Q897:Z897)</f>
        <v>9059</v>
      </c>
      <c r="AB897" s="19">
        <f>$AA897*AB$7</f>
        <v>9762</v>
      </c>
      <c r="AC897" s="15">
        <f>AB897/D897</f>
        <v>361.56</v>
      </c>
      <c r="AD897" s="15">
        <f>AC897*D897</f>
        <v>9762.1200000000008</v>
      </c>
      <c r="AE897" s="25"/>
      <c r="AF897" s="157">
        <f t="shared" si="549"/>
        <v>0.12</v>
      </c>
    </row>
    <row r="898" spans="1:32" s="4" customFormat="1" x14ac:dyDescent="0.25">
      <c r="A898" s="64" t="s">
        <v>837</v>
      </c>
      <c r="B898" s="55" t="s">
        <v>843</v>
      </c>
      <c r="C898" s="46" t="s">
        <v>82</v>
      </c>
      <c r="D898" s="47">
        <f>239.7+177.4</f>
        <v>417.1</v>
      </c>
      <c r="E898" s="45">
        <f>H898/D898</f>
        <v>35.57</v>
      </c>
      <c r="F898" s="45"/>
      <c r="G898" s="45"/>
      <c r="H898" s="44">
        <v>14836</v>
      </c>
      <c r="I898" s="15"/>
      <c r="J898" s="15"/>
      <c r="K898" s="15"/>
      <c r="L898" s="15"/>
      <c r="M898" s="44"/>
      <c r="N898" s="44"/>
      <c r="O898" s="44">
        <f t="shared" ref="O898:O899" si="586">H898*9.12</f>
        <v>135304</v>
      </c>
      <c r="P898" s="19">
        <f t="shared" ref="P898:P899" si="587">O898*4.1%</f>
        <v>5547</v>
      </c>
      <c r="Q898" s="19">
        <f>SUM(O898:P898)</f>
        <v>140851</v>
      </c>
      <c r="R898" s="6">
        <f t="shared" si="583"/>
        <v>1085</v>
      </c>
      <c r="S898" s="147">
        <f>Q898*$S$5</f>
        <v>198</v>
      </c>
      <c r="T898" s="121">
        <f t="shared" si="584"/>
        <v>135</v>
      </c>
      <c r="U898" s="126">
        <f>Q898*$U$4</f>
        <v>687</v>
      </c>
      <c r="V898" s="126">
        <f t="shared" si="585"/>
        <v>158</v>
      </c>
      <c r="W898" s="6"/>
      <c r="X898" s="6"/>
      <c r="Y898" s="6"/>
      <c r="Z898" s="6"/>
      <c r="AA898" s="19">
        <f>SUM(Q898:Z898)</f>
        <v>143114</v>
      </c>
      <c r="AB898" s="19">
        <f>$AA898*AB$7</f>
        <v>154223</v>
      </c>
      <c r="AC898" s="15">
        <f>AB898/D898</f>
        <v>369.75</v>
      </c>
      <c r="AD898" s="15">
        <f>AC898*D898</f>
        <v>154222.73000000001</v>
      </c>
      <c r="AE898" s="25"/>
      <c r="AF898" s="157">
        <f t="shared" si="549"/>
        <v>-0.27</v>
      </c>
    </row>
    <row r="899" spans="1:32" s="4" customFormat="1" x14ac:dyDescent="0.25">
      <c r="A899" s="64" t="s">
        <v>838</v>
      </c>
      <c r="B899" s="55" t="s">
        <v>844</v>
      </c>
      <c r="C899" s="46" t="s">
        <v>82</v>
      </c>
      <c r="D899" s="47">
        <f>113.5</f>
        <v>113.5</v>
      </c>
      <c r="E899" s="45">
        <f>H899/D899</f>
        <v>37.020000000000003</v>
      </c>
      <c r="F899" s="45"/>
      <c r="G899" s="45"/>
      <c r="H899" s="44">
        <v>4202</v>
      </c>
      <c r="I899" s="15"/>
      <c r="J899" s="15"/>
      <c r="K899" s="15"/>
      <c r="L899" s="15"/>
      <c r="M899" s="44"/>
      <c r="N899" s="44"/>
      <c r="O899" s="44">
        <f t="shared" si="586"/>
        <v>38322</v>
      </c>
      <c r="P899" s="19">
        <f t="shared" si="587"/>
        <v>1571</v>
      </c>
      <c r="Q899" s="19">
        <f>SUM(O899:P899)</f>
        <v>39893</v>
      </c>
      <c r="R899" s="6">
        <f t="shared" si="583"/>
        <v>307</v>
      </c>
      <c r="S899" s="147">
        <f>Q899*$S$5</f>
        <v>56</v>
      </c>
      <c r="T899" s="121">
        <f t="shared" si="584"/>
        <v>38</v>
      </c>
      <c r="U899" s="126">
        <f>Q899*$U$4</f>
        <v>195</v>
      </c>
      <c r="V899" s="126">
        <f t="shared" si="585"/>
        <v>45</v>
      </c>
      <c r="W899" s="6"/>
      <c r="X899" s="6"/>
      <c r="Y899" s="6"/>
      <c r="Z899" s="6"/>
      <c r="AA899" s="19">
        <f>SUM(Q899:Z899)</f>
        <v>40534</v>
      </c>
      <c r="AB899" s="19">
        <f>$AA899*AB$7</f>
        <v>43680</v>
      </c>
      <c r="AC899" s="15">
        <f>AB899/D899</f>
        <v>384.85</v>
      </c>
      <c r="AD899" s="15">
        <f>AC899*D899</f>
        <v>43680.480000000003</v>
      </c>
      <c r="AE899" s="25"/>
      <c r="AF899" s="157">
        <f t="shared" si="549"/>
        <v>0.48</v>
      </c>
    </row>
    <row r="900" spans="1:32" s="4" customFormat="1" x14ac:dyDescent="0.25">
      <c r="A900" s="64" t="s">
        <v>839</v>
      </c>
      <c r="B900" s="55" t="s">
        <v>845</v>
      </c>
      <c r="C900" s="46" t="s">
        <v>67</v>
      </c>
      <c r="D900" s="47">
        <v>12</v>
      </c>
      <c r="E900" s="45">
        <f>H900/D900</f>
        <v>312.5</v>
      </c>
      <c r="F900" s="45"/>
      <c r="G900" s="45"/>
      <c r="H900" s="44">
        <v>3750</v>
      </c>
      <c r="I900" s="15"/>
      <c r="J900" s="15"/>
      <c r="K900" s="15"/>
      <c r="L900" s="15"/>
      <c r="M900" s="44"/>
      <c r="N900" s="44"/>
      <c r="O900" s="44">
        <f>H900*9.12</f>
        <v>34200</v>
      </c>
      <c r="P900" s="19">
        <f>O900*4.1%</f>
        <v>1402</v>
      </c>
      <c r="Q900" s="19">
        <f>SUM(O900:P900)</f>
        <v>35602</v>
      </c>
      <c r="R900" s="6">
        <f>Q900*0.77%</f>
        <v>274</v>
      </c>
      <c r="S900" s="6"/>
      <c r="T900" s="6"/>
      <c r="U900" s="126">
        <f>Q900*$U$4</f>
        <v>174</v>
      </c>
      <c r="V900" s="126">
        <f t="shared" si="585"/>
        <v>40</v>
      </c>
      <c r="W900" s="6"/>
      <c r="X900" s="6"/>
      <c r="Y900" s="6"/>
      <c r="Z900" s="6"/>
      <c r="AA900" s="19">
        <f>SUM(Q900:Z900)</f>
        <v>36090</v>
      </c>
      <c r="AB900" s="19">
        <f>$AA900*AB$7</f>
        <v>38891</v>
      </c>
      <c r="AC900" s="15">
        <f>AB900/D900</f>
        <v>3240.92</v>
      </c>
      <c r="AD900" s="15">
        <f>AC900*D900</f>
        <v>38891.040000000001</v>
      </c>
      <c r="AE900" s="25"/>
      <c r="AF900" s="157">
        <f t="shared" si="549"/>
        <v>0.04</v>
      </c>
    </row>
    <row r="901" spans="1:32" s="4" customFormat="1" x14ac:dyDescent="0.25">
      <c r="A901" s="64" t="s">
        <v>840</v>
      </c>
      <c r="B901" s="55" t="s">
        <v>846</v>
      </c>
      <c r="C901" s="46" t="s">
        <v>67</v>
      </c>
      <c r="D901" s="47">
        <v>12</v>
      </c>
      <c r="E901" s="45">
        <f>H901/D901</f>
        <v>351.67</v>
      </c>
      <c r="F901" s="45"/>
      <c r="G901" s="45"/>
      <c r="H901" s="44">
        <v>4220</v>
      </c>
      <c r="I901" s="15"/>
      <c r="J901" s="15"/>
      <c r="K901" s="15"/>
      <c r="L901" s="15"/>
      <c r="M901" s="44"/>
      <c r="N901" s="44"/>
      <c r="O901" s="44">
        <f>H901*9.12</f>
        <v>38486</v>
      </c>
      <c r="P901" s="19">
        <f>O901*4.1%</f>
        <v>1578</v>
      </c>
      <c r="Q901" s="19">
        <f>SUM(O901:P901)</f>
        <v>40064</v>
      </c>
      <c r="R901" s="6">
        <f>Q901*0.77%</f>
        <v>308</v>
      </c>
      <c r="S901" s="6"/>
      <c r="T901" s="6"/>
      <c r="U901" s="126">
        <f>Q901*$U$4</f>
        <v>195</v>
      </c>
      <c r="V901" s="126">
        <f t="shared" si="585"/>
        <v>45</v>
      </c>
      <c r="W901" s="6"/>
      <c r="X901" s="6"/>
      <c r="Y901" s="6"/>
      <c r="Z901" s="6"/>
      <c r="AA901" s="19">
        <f>SUM(Q901:Z901)</f>
        <v>40612</v>
      </c>
      <c r="AB901" s="19">
        <f>$AA901*AB$7</f>
        <v>43764</v>
      </c>
      <c r="AC901" s="15">
        <f>AB901/D901</f>
        <v>3647</v>
      </c>
      <c r="AD901" s="15">
        <f>AC901*D901</f>
        <v>43764</v>
      </c>
      <c r="AE901" s="25"/>
      <c r="AF901" s="157">
        <f t="shared" si="549"/>
        <v>0</v>
      </c>
    </row>
    <row r="902" spans="1:32" s="43" customFormat="1" x14ac:dyDescent="0.25">
      <c r="A902" s="23" t="s">
        <v>822</v>
      </c>
      <c r="B902" s="17" t="s">
        <v>1338</v>
      </c>
      <c r="C902" s="24"/>
      <c r="D902" s="13"/>
      <c r="E902" s="14"/>
      <c r="F902" s="14"/>
      <c r="G902" s="14"/>
      <c r="H902" s="36"/>
      <c r="I902" s="15"/>
      <c r="J902" s="15"/>
      <c r="K902" s="15"/>
      <c r="L902" s="15"/>
      <c r="M902" s="22"/>
      <c r="N902" s="22"/>
      <c r="O902" s="22"/>
      <c r="P902" s="19"/>
      <c r="Q902" s="19"/>
      <c r="R902" s="6"/>
      <c r="S902" s="6"/>
      <c r="T902" s="6"/>
      <c r="U902" s="121"/>
      <c r="V902" s="126"/>
      <c r="W902" s="6"/>
      <c r="X902" s="6"/>
      <c r="Y902" s="6"/>
      <c r="Z902" s="6"/>
      <c r="AA902" s="19"/>
      <c r="AB902" s="19"/>
      <c r="AC902" s="15"/>
      <c r="AD902" s="15"/>
      <c r="AE902" s="25"/>
      <c r="AF902" s="157">
        <f t="shared" si="549"/>
        <v>0</v>
      </c>
    </row>
    <row r="903" spans="1:32" s="4" customFormat="1" x14ac:dyDescent="0.25">
      <c r="A903" s="64" t="s">
        <v>824</v>
      </c>
      <c r="B903" s="55" t="s">
        <v>813</v>
      </c>
      <c r="C903" s="46" t="s">
        <v>82</v>
      </c>
      <c r="D903" s="47">
        <f>905+230.2+156.9+480+15.6+188.3+605.5+166.5+297.9+280</f>
        <v>3325.9</v>
      </c>
      <c r="E903" s="45">
        <f t="shared" ref="E903:E914" si="588">H903/D903</f>
        <v>592.02</v>
      </c>
      <c r="F903" s="45"/>
      <c r="G903" s="45"/>
      <c r="H903" s="44">
        <v>1969008</v>
      </c>
      <c r="I903" s="15"/>
      <c r="J903" s="15"/>
      <c r="K903" s="15"/>
      <c r="L903" s="15"/>
      <c r="M903" s="44"/>
      <c r="N903" s="44"/>
      <c r="O903" s="44">
        <f>H903*9.12</f>
        <v>17957353</v>
      </c>
      <c r="P903" s="19">
        <f>O903*4.1%</f>
        <v>736251</v>
      </c>
      <c r="Q903" s="19">
        <f t="shared" ref="Q903:Q914" si="589">SUM(O903:P903)</f>
        <v>18693604</v>
      </c>
      <c r="R903" s="6">
        <f t="shared" ref="R903:R905" si="590">Q903*0.77%</f>
        <v>143941</v>
      </c>
      <c r="S903" s="147">
        <f>Q903*$S$5</f>
        <v>26268</v>
      </c>
      <c r="T903" s="121">
        <f t="shared" ref="T903:T905" si="591">Q903*$T$7</f>
        <v>17852</v>
      </c>
      <c r="U903" s="126">
        <f t="shared" ref="U903:U914" si="592">Q903*$U$4</f>
        <v>91177</v>
      </c>
      <c r="V903" s="126">
        <f t="shared" si="585"/>
        <v>20927</v>
      </c>
      <c r="W903" s="6"/>
      <c r="X903" s="6"/>
      <c r="Y903" s="6"/>
      <c r="Z903" s="6"/>
      <c r="AA903" s="19">
        <f t="shared" ref="AA903:AA905" si="593">SUM(Q903:Z903)</f>
        <v>18993769</v>
      </c>
      <c r="AB903" s="19">
        <f t="shared" ref="AB903:AB905" si="594">$AA903*AB$7</f>
        <v>20468065</v>
      </c>
      <c r="AC903" s="15">
        <f t="shared" ref="AC903:AC914" si="595">AB903/D903</f>
        <v>6154.14</v>
      </c>
      <c r="AD903" s="15">
        <f t="shared" ref="AD903:AD914" si="596">AC903*D903</f>
        <v>20468054.23</v>
      </c>
      <c r="AE903" s="25"/>
      <c r="AF903" s="157">
        <f t="shared" si="549"/>
        <v>-10.77</v>
      </c>
    </row>
    <row r="904" spans="1:32" s="4" customFormat="1" x14ac:dyDescent="0.25">
      <c r="A904" s="64" t="s">
        <v>825</v>
      </c>
      <c r="B904" s="55" t="s">
        <v>847</v>
      </c>
      <c r="C904" s="46" t="s">
        <v>82</v>
      </c>
      <c r="D904" s="47">
        <f>241.6+180+117.7+64.1</f>
        <v>603.4</v>
      </c>
      <c r="E904" s="45">
        <f t="shared" si="588"/>
        <v>705.42</v>
      </c>
      <c r="F904" s="45"/>
      <c r="G904" s="45"/>
      <c r="H904" s="44">
        <v>425648</v>
      </c>
      <c r="I904" s="15"/>
      <c r="J904" s="15"/>
      <c r="K904" s="15"/>
      <c r="L904" s="15"/>
      <c r="M904" s="44"/>
      <c r="N904" s="44"/>
      <c r="O904" s="44">
        <f t="shared" ref="O904:O905" si="597">H904*9.12</f>
        <v>3881910</v>
      </c>
      <c r="P904" s="19">
        <f t="shared" ref="P904:P905" si="598">O904*4.1%</f>
        <v>159158</v>
      </c>
      <c r="Q904" s="19">
        <f t="shared" si="589"/>
        <v>4041068</v>
      </c>
      <c r="R904" s="6">
        <f t="shared" si="590"/>
        <v>31116</v>
      </c>
      <c r="S904" s="147">
        <f>Q904*$S$5</f>
        <v>5678</v>
      </c>
      <c r="T904" s="121">
        <f t="shared" si="591"/>
        <v>3859</v>
      </c>
      <c r="U904" s="126">
        <f t="shared" si="592"/>
        <v>19710</v>
      </c>
      <c r="V904" s="126">
        <f t="shared" si="585"/>
        <v>4524</v>
      </c>
      <c r="W904" s="6"/>
      <c r="X904" s="6"/>
      <c r="Y904" s="6"/>
      <c r="Z904" s="6"/>
      <c r="AA904" s="19">
        <f t="shared" si="593"/>
        <v>4105955</v>
      </c>
      <c r="AB904" s="19">
        <f t="shared" si="594"/>
        <v>4424659</v>
      </c>
      <c r="AC904" s="15">
        <f t="shared" si="595"/>
        <v>7332.88</v>
      </c>
      <c r="AD904" s="15">
        <f t="shared" si="596"/>
        <v>4424659.79</v>
      </c>
      <c r="AE904" s="25"/>
      <c r="AF904" s="157">
        <f t="shared" si="549"/>
        <v>0.79</v>
      </c>
    </row>
    <row r="905" spans="1:32" s="4" customFormat="1" x14ac:dyDescent="0.25">
      <c r="A905" s="64" t="s">
        <v>826</v>
      </c>
      <c r="B905" s="55" t="s">
        <v>841</v>
      </c>
      <c r="C905" s="46" t="s">
        <v>82</v>
      </c>
      <c r="D905" s="47">
        <f>76.5+30.6+31+283.4</f>
        <v>421.5</v>
      </c>
      <c r="E905" s="45">
        <f t="shared" si="588"/>
        <v>910.19</v>
      </c>
      <c r="F905" s="45"/>
      <c r="G905" s="45"/>
      <c r="H905" s="44">
        <v>383644</v>
      </c>
      <c r="I905" s="15"/>
      <c r="J905" s="15"/>
      <c r="K905" s="15"/>
      <c r="L905" s="15"/>
      <c r="M905" s="44"/>
      <c r="N905" s="44"/>
      <c r="O905" s="44">
        <f t="shared" si="597"/>
        <v>3498833</v>
      </c>
      <c r="P905" s="19">
        <f t="shared" si="598"/>
        <v>143452</v>
      </c>
      <c r="Q905" s="19">
        <f t="shared" si="589"/>
        <v>3642285</v>
      </c>
      <c r="R905" s="6">
        <f t="shared" si="590"/>
        <v>28046</v>
      </c>
      <c r="S905" s="147">
        <f>Q905*$S$5</f>
        <v>5118</v>
      </c>
      <c r="T905" s="121">
        <f t="shared" si="591"/>
        <v>3478</v>
      </c>
      <c r="U905" s="126">
        <f t="shared" si="592"/>
        <v>17765</v>
      </c>
      <c r="V905" s="126">
        <f t="shared" si="585"/>
        <v>4077</v>
      </c>
      <c r="W905" s="6"/>
      <c r="X905" s="6"/>
      <c r="Y905" s="6"/>
      <c r="Z905" s="6"/>
      <c r="AA905" s="19">
        <f t="shared" si="593"/>
        <v>3700769</v>
      </c>
      <c r="AB905" s="19">
        <f t="shared" si="594"/>
        <v>3988023</v>
      </c>
      <c r="AC905" s="15">
        <f t="shared" si="595"/>
        <v>9461.5</v>
      </c>
      <c r="AD905" s="15">
        <f t="shared" si="596"/>
        <v>3988022.25</v>
      </c>
      <c r="AE905" s="25"/>
      <c r="AF905" s="157">
        <f t="shared" si="549"/>
        <v>-0.75</v>
      </c>
    </row>
    <row r="906" spans="1:32" s="4" customFormat="1" ht="25.5" x14ac:dyDescent="0.25">
      <c r="A906" s="64" t="s">
        <v>827</v>
      </c>
      <c r="B906" s="55" t="s">
        <v>814</v>
      </c>
      <c r="C906" s="46" t="s">
        <v>82</v>
      </c>
      <c r="D906" s="47">
        <f>21.8+21.8+19</f>
        <v>62.6</v>
      </c>
      <c r="E906" s="45">
        <f t="shared" si="588"/>
        <v>6305.14</v>
      </c>
      <c r="F906" s="45"/>
      <c r="G906" s="45"/>
      <c r="H906" s="44">
        <v>394702</v>
      </c>
      <c r="I906" s="15"/>
      <c r="J906" s="15"/>
      <c r="K906" s="15"/>
      <c r="L906" s="15"/>
      <c r="M906" s="44"/>
      <c r="N906" s="44"/>
      <c r="O906" s="44">
        <f t="shared" ref="O906:O914" si="599">H906*9.12</f>
        <v>3599682</v>
      </c>
      <c r="P906" s="19">
        <f t="shared" ref="P906:P914" si="600">O906*4.1%</f>
        <v>147587</v>
      </c>
      <c r="Q906" s="19">
        <f t="shared" si="589"/>
        <v>3747269</v>
      </c>
      <c r="R906" s="6">
        <f t="shared" ref="R906:R914" si="601">Q906*0.77%</f>
        <v>28854</v>
      </c>
      <c r="S906" s="6"/>
      <c r="T906" s="6"/>
      <c r="U906" s="126">
        <f t="shared" si="592"/>
        <v>18277</v>
      </c>
      <c r="V906" s="126">
        <f t="shared" si="585"/>
        <v>4195</v>
      </c>
      <c r="W906" s="6"/>
      <c r="X906" s="6"/>
      <c r="Y906" s="6"/>
      <c r="Z906" s="6"/>
      <c r="AA906" s="19">
        <f t="shared" ref="AA906:AA914" si="602">SUM(Q906:Z906)</f>
        <v>3798595</v>
      </c>
      <c r="AB906" s="19">
        <f t="shared" ref="AB906:AB914" si="603">$AA906*AB$7</f>
        <v>4093442</v>
      </c>
      <c r="AC906" s="15">
        <f t="shared" si="595"/>
        <v>65390.45</v>
      </c>
      <c r="AD906" s="15">
        <f t="shared" si="596"/>
        <v>4093442.17</v>
      </c>
      <c r="AE906" s="25"/>
      <c r="AF906" s="157">
        <f t="shared" si="549"/>
        <v>0.17</v>
      </c>
    </row>
    <row r="907" spans="1:32" s="4" customFormat="1" ht="25.5" x14ac:dyDescent="0.25">
      <c r="A907" s="64" t="s">
        <v>828</v>
      </c>
      <c r="B907" s="55" t="s">
        <v>820</v>
      </c>
      <c r="C907" s="46" t="s">
        <v>82</v>
      </c>
      <c r="D907" s="47">
        <f>13.6+6.9+10</f>
        <v>30.5</v>
      </c>
      <c r="E907" s="45">
        <f t="shared" si="588"/>
        <v>3693.28</v>
      </c>
      <c r="F907" s="45"/>
      <c r="G907" s="45"/>
      <c r="H907" s="44">
        <v>112645</v>
      </c>
      <c r="I907" s="15"/>
      <c r="J907" s="15"/>
      <c r="K907" s="15"/>
      <c r="L907" s="15"/>
      <c r="M907" s="44"/>
      <c r="N907" s="44"/>
      <c r="O907" s="44">
        <f t="shared" si="599"/>
        <v>1027322</v>
      </c>
      <c r="P907" s="19">
        <f t="shared" si="600"/>
        <v>42120</v>
      </c>
      <c r="Q907" s="19">
        <f t="shared" si="589"/>
        <v>1069442</v>
      </c>
      <c r="R907" s="6">
        <f t="shared" si="601"/>
        <v>8235</v>
      </c>
      <c r="S907" s="6"/>
      <c r="T907" s="6"/>
      <c r="U907" s="126">
        <f t="shared" si="592"/>
        <v>5216</v>
      </c>
      <c r="V907" s="126">
        <f t="shared" si="585"/>
        <v>1197</v>
      </c>
      <c r="W907" s="6"/>
      <c r="X907" s="6"/>
      <c r="Y907" s="6"/>
      <c r="Z907" s="6"/>
      <c r="AA907" s="19">
        <f t="shared" si="602"/>
        <v>1084090</v>
      </c>
      <c r="AB907" s="19">
        <f t="shared" si="603"/>
        <v>1168237</v>
      </c>
      <c r="AC907" s="15">
        <f t="shared" si="595"/>
        <v>38302.85</v>
      </c>
      <c r="AD907" s="15">
        <f t="shared" si="596"/>
        <v>1168236.93</v>
      </c>
      <c r="AE907" s="25"/>
      <c r="AF907" s="157">
        <f t="shared" si="549"/>
        <v>-7.0000000000000007E-2</v>
      </c>
    </row>
    <row r="908" spans="1:32" s="4" customFormat="1" ht="25.5" x14ac:dyDescent="0.25">
      <c r="A908" s="64" t="s">
        <v>829</v>
      </c>
      <c r="B908" s="55" t="s">
        <v>821</v>
      </c>
      <c r="C908" s="46" t="s">
        <v>82</v>
      </c>
      <c r="D908" s="47">
        <f>27.6+24.5+20.2</f>
        <v>72.3</v>
      </c>
      <c r="E908" s="45">
        <f t="shared" si="588"/>
        <v>3110.86</v>
      </c>
      <c r="F908" s="45"/>
      <c r="G908" s="45"/>
      <c r="H908" s="44">
        <v>224915</v>
      </c>
      <c r="I908" s="15"/>
      <c r="J908" s="15"/>
      <c r="K908" s="15"/>
      <c r="L908" s="15"/>
      <c r="M908" s="44"/>
      <c r="N908" s="44"/>
      <c r="O908" s="44">
        <f t="shared" si="599"/>
        <v>2051225</v>
      </c>
      <c r="P908" s="19">
        <f t="shared" si="600"/>
        <v>84100</v>
      </c>
      <c r="Q908" s="19">
        <f t="shared" si="589"/>
        <v>2135325</v>
      </c>
      <c r="R908" s="6">
        <f t="shared" si="601"/>
        <v>16442</v>
      </c>
      <c r="S908" s="6"/>
      <c r="T908" s="6"/>
      <c r="U908" s="126">
        <f t="shared" si="592"/>
        <v>10415</v>
      </c>
      <c r="V908" s="126">
        <f t="shared" si="585"/>
        <v>2390</v>
      </c>
      <c r="W908" s="6"/>
      <c r="X908" s="6"/>
      <c r="Y908" s="6"/>
      <c r="Z908" s="6"/>
      <c r="AA908" s="19">
        <f t="shared" si="602"/>
        <v>2164572</v>
      </c>
      <c r="AB908" s="19">
        <f t="shared" si="603"/>
        <v>2332586</v>
      </c>
      <c r="AC908" s="15">
        <f t="shared" si="595"/>
        <v>32262.6</v>
      </c>
      <c r="AD908" s="15">
        <f t="shared" si="596"/>
        <v>2332585.98</v>
      </c>
      <c r="AE908" s="25"/>
      <c r="AF908" s="157">
        <f t="shared" si="549"/>
        <v>-0.02</v>
      </c>
    </row>
    <row r="909" spans="1:32" s="4" customFormat="1" x14ac:dyDescent="0.25">
      <c r="A909" s="64" t="s">
        <v>830</v>
      </c>
      <c r="B909" s="55" t="s">
        <v>815</v>
      </c>
      <c r="C909" s="46" t="s">
        <v>67</v>
      </c>
      <c r="D909" s="47">
        <f>19+6+5+23+12+22+8+9+12</f>
        <v>116</v>
      </c>
      <c r="E909" s="45">
        <f t="shared" si="588"/>
        <v>4174.9399999999996</v>
      </c>
      <c r="F909" s="45"/>
      <c r="G909" s="45"/>
      <c r="H909" s="44">
        <v>484293</v>
      </c>
      <c r="I909" s="15"/>
      <c r="J909" s="15"/>
      <c r="K909" s="15"/>
      <c r="L909" s="15"/>
      <c r="M909" s="44"/>
      <c r="N909" s="44"/>
      <c r="O909" s="44">
        <f t="shared" si="599"/>
        <v>4416752</v>
      </c>
      <c r="P909" s="19">
        <f t="shared" si="600"/>
        <v>181087</v>
      </c>
      <c r="Q909" s="19">
        <f t="shared" si="589"/>
        <v>4597839</v>
      </c>
      <c r="R909" s="6">
        <f t="shared" si="601"/>
        <v>35403</v>
      </c>
      <c r="S909" s="6"/>
      <c r="T909" s="6"/>
      <c r="U909" s="126">
        <f t="shared" si="592"/>
        <v>22426</v>
      </c>
      <c r="V909" s="126">
        <f t="shared" si="585"/>
        <v>5147</v>
      </c>
      <c r="W909" s="6"/>
      <c r="X909" s="6"/>
      <c r="Y909" s="6"/>
      <c r="Z909" s="6"/>
      <c r="AA909" s="19">
        <f t="shared" si="602"/>
        <v>4660815</v>
      </c>
      <c r="AB909" s="19">
        <f t="shared" si="603"/>
        <v>5022587</v>
      </c>
      <c r="AC909" s="15">
        <f t="shared" si="595"/>
        <v>43298.16</v>
      </c>
      <c r="AD909" s="15">
        <f t="shared" si="596"/>
        <v>5022586.5599999996</v>
      </c>
      <c r="AE909" s="25"/>
      <c r="AF909" s="157">
        <f t="shared" si="549"/>
        <v>-0.44</v>
      </c>
    </row>
    <row r="910" spans="1:32" s="4" customFormat="1" x14ac:dyDescent="0.25">
      <c r="A910" s="64" t="s">
        <v>831</v>
      </c>
      <c r="B910" s="55" t="s">
        <v>816</v>
      </c>
      <c r="C910" s="46" t="s">
        <v>67</v>
      </c>
      <c r="D910" s="47">
        <f>20+6+5+31+11+21+4+10+16</f>
        <v>124</v>
      </c>
      <c r="E910" s="45">
        <f t="shared" si="588"/>
        <v>9781.2999999999993</v>
      </c>
      <c r="F910" s="45"/>
      <c r="G910" s="45"/>
      <c r="H910" s="44">
        <v>1212881</v>
      </c>
      <c r="I910" s="15"/>
      <c r="J910" s="15"/>
      <c r="K910" s="15"/>
      <c r="L910" s="15"/>
      <c r="M910" s="44"/>
      <c r="N910" s="44"/>
      <c r="O910" s="44">
        <f t="shared" si="599"/>
        <v>11061475</v>
      </c>
      <c r="P910" s="19">
        <f t="shared" si="600"/>
        <v>453520</v>
      </c>
      <c r="Q910" s="19">
        <f t="shared" si="589"/>
        <v>11514995</v>
      </c>
      <c r="R910" s="6">
        <f t="shared" si="601"/>
        <v>88665</v>
      </c>
      <c r="S910" s="6"/>
      <c r="T910" s="6"/>
      <c r="U910" s="126">
        <f t="shared" si="592"/>
        <v>56164</v>
      </c>
      <c r="V910" s="126">
        <f t="shared" si="585"/>
        <v>12890</v>
      </c>
      <c r="W910" s="6"/>
      <c r="X910" s="6"/>
      <c r="Y910" s="6"/>
      <c r="Z910" s="6"/>
      <c r="AA910" s="19">
        <f t="shared" si="602"/>
        <v>11672714</v>
      </c>
      <c r="AB910" s="19">
        <f t="shared" si="603"/>
        <v>12578750</v>
      </c>
      <c r="AC910" s="15">
        <f t="shared" si="595"/>
        <v>101441.53</v>
      </c>
      <c r="AD910" s="15">
        <f t="shared" si="596"/>
        <v>12578749.720000001</v>
      </c>
      <c r="AE910" s="25"/>
      <c r="AF910" s="157">
        <f t="shared" si="549"/>
        <v>-0.28000000000000003</v>
      </c>
    </row>
    <row r="911" spans="1:32" s="4" customFormat="1" x14ac:dyDescent="0.25">
      <c r="A911" s="64" t="s">
        <v>832</v>
      </c>
      <c r="B911" s="55" t="s">
        <v>819</v>
      </c>
      <c r="C911" s="46" t="s">
        <v>67</v>
      </c>
      <c r="D911" s="47">
        <v>1</v>
      </c>
      <c r="E911" s="45">
        <f t="shared" si="588"/>
        <v>7126</v>
      </c>
      <c r="F911" s="45"/>
      <c r="G911" s="45"/>
      <c r="H911" s="44">
        <v>7126</v>
      </c>
      <c r="I911" s="15"/>
      <c r="J911" s="15"/>
      <c r="K911" s="15"/>
      <c r="L911" s="15"/>
      <c r="M911" s="44"/>
      <c r="N911" s="44"/>
      <c r="O911" s="44">
        <f t="shared" si="599"/>
        <v>64989</v>
      </c>
      <c r="P911" s="19">
        <f t="shared" si="600"/>
        <v>2665</v>
      </c>
      <c r="Q911" s="19">
        <f t="shared" si="589"/>
        <v>67654</v>
      </c>
      <c r="R911" s="6">
        <f t="shared" si="601"/>
        <v>521</v>
      </c>
      <c r="S911" s="6"/>
      <c r="T911" s="6"/>
      <c r="U911" s="126">
        <f t="shared" si="592"/>
        <v>330</v>
      </c>
      <c r="V911" s="126">
        <f t="shared" si="585"/>
        <v>76</v>
      </c>
      <c r="W911" s="6"/>
      <c r="X911" s="6"/>
      <c r="Y911" s="6"/>
      <c r="Z911" s="6"/>
      <c r="AA911" s="19">
        <f t="shared" si="602"/>
        <v>68581</v>
      </c>
      <c r="AB911" s="19">
        <f t="shared" si="603"/>
        <v>73904</v>
      </c>
      <c r="AC911" s="15">
        <f t="shared" si="595"/>
        <v>73904</v>
      </c>
      <c r="AD911" s="15">
        <f t="shared" si="596"/>
        <v>73904</v>
      </c>
      <c r="AE911" s="25"/>
      <c r="AF911" s="157">
        <f t="shared" si="549"/>
        <v>0</v>
      </c>
    </row>
    <row r="912" spans="1:32" s="4" customFormat="1" x14ac:dyDescent="0.25">
      <c r="A912" s="64" t="s">
        <v>833</v>
      </c>
      <c r="B912" s="55" t="s">
        <v>817</v>
      </c>
      <c r="C912" s="46" t="s">
        <v>468</v>
      </c>
      <c r="D912" s="47">
        <f>1.4+1.6+6.4+0.53</f>
        <v>9.93</v>
      </c>
      <c r="E912" s="45">
        <f t="shared" si="588"/>
        <v>893.66</v>
      </c>
      <c r="F912" s="45"/>
      <c r="G912" s="45"/>
      <c r="H912" s="44">
        <v>8874</v>
      </c>
      <c r="I912" s="15"/>
      <c r="J912" s="15"/>
      <c r="K912" s="15"/>
      <c r="L912" s="15"/>
      <c r="M912" s="44"/>
      <c r="N912" s="44"/>
      <c r="O912" s="44">
        <f t="shared" si="599"/>
        <v>80931</v>
      </c>
      <c r="P912" s="19">
        <f t="shared" si="600"/>
        <v>3318</v>
      </c>
      <c r="Q912" s="19">
        <f t="shared" si="589"/>
        <v>84249</v>
      </c>
      <c r="R912" s="6">
        <f t="shared" si="601"/>
        <v>649</v>
      </c>
      <c r="S912" s="6"/>
      <c r="T912" s="6"/>
      <c r="U912" s="126">
        <f t="shared" si="592"/>
        <v>411</v>
      </c>
      <c r="V912" s="126">
        <f t="shared" si="585"/>
        <v>94</v>
      </c>
      <c r="W912" s="6"/>
      <c r="X912" s="6"/>
      <c r="Y912" s="6"/>
      <c r="Z912" s="6"/>
      <c r="AA912" s="19">
        <f t="shared" si="602"/>
        <v>85403</v>
      </c>
      <c r="AB912" s="19">
        <f t="shared" si="603"/>
        <v>92032</v>
      </c>
      <c r="AC912" s="15">
        <f t="shared" si="595"/>
        <v>9268.08</v>
      </c>
      <c r="AD912" s="15">
        <f t="shared" si="596"/>
        <v>92032.03</v>
      </c>
      <c r="AE912" s="25"/>
      <c r="AF912" s="157">
        <f t="shared" si="549"/>
        <v>0.03</v>
      </c>
    </row>
    <row r="913" spans="1:32" s="4" customFormat="1" x14ac:dyDescent="0.25">
      <c r="A913" s="64" t="s">
        <v>834</v>
      </c>
      <c r="B913" s="55" t="s">
        <v>818</v>
      </c>
      <c r="C913" s="46" t="s">
        <v>67</v>
      </c>
      <c r="D913" s="47">
        <f>1+1+1</f>
        <v>3</v>
      </c>
      <c r="E913" s="45">
        <f t="shared" si="588"/>
        <v>2612.33</v>
      </c>
      <c r="F913" s="45"/>
      <c r="G913" s="45"/>
      <c r="H913" s="44">
        <v>7837</v>
      </c>
      <c r="I913" s="15"/>
      <c r="J913" s="15"/>
      <c r="K913" s="15"/>
      <c r="L913" s="15"/>
      <c r="M913" s="44"/>
      <c r="N913" s="44"/>
      <c r="O913" s="44">
        <f t="shared" si="599"/>
        <v>71473</v>
      </c>
      <c r="P913" s="19">
        <f t="shared" si="600"/>
        <v>2930</v>
      </c>
      <c r="Q913" s="19">
        <f t="shared" si="589"/>
        <v>74403</v>
      </c>
      <c r="R913" s="6">
        <f t="shared" si="601"/>
        <v>573</v>
      </c>
      <c r="S913" s="6"/>
      <c r="T913" s="6"/>
      <c r="U913" s="126">
        <f t="shared" si="592"/>
        <v>363</v>
      </c>
      <c r="V913" s="126">
        <f t="shared" si="585"/>
        <v>83</v>
      </c>
      <c r="W913" s="6"/>
      <c r="X913" s="6"/>
      <c r="Y913" s="6"/>
      <c r="Z913" s="6"/>
      <c r="AA913" s="19">
        <f t="shared" si="602"/>
        <v>75422</v>
      </c>
      <c r="AB913" s="19">
        <f t="shared" si="603"/>
        <v>81276</v>
      </c>
      <c r="AC913" s="15">
        <f t="shared" si="595"/>
        <v>27092</v>
      </c>
      <c r="AD913" s="15">
        <f t="shared" si="596"/>
        <v>81276</v>
      </c>
      <c r="AE913" s="25"/>
      <c r="AF913" s="157">
        <f t="shared" si="549"/>
        <v>0</v>
      </c>
    </row>
    <row r="914" spans="1:32" s="4" customFormat="1" x14ac:dyDescent="0.25">
      <c r="A914" s="64" t="s">
        <v>835</v>
      </c>
      <c r="B914" s="55" t="s">
        <v>398</v>
      </c>
      <c r="C914" s="46" t="s">
        <v>72</v>
      </c>
      <c r="D914" s="47">
        <f>3*2*4+3*2*2+6.19+3*2*2</f>
        <v>54.19</v>
      </c>
      <c r="E914" s="45">
        <f t="shared" si="588"/>
        <v>459.25</v>
      </c>
      <c r="F914" s="45"/>
      <c r="G914" s="45"/>
      <c r="H914" s="44">
        <v>24887</v>
      </c>
      <c r="I914" s="15"/>
      <c r="J914" s="15"/>
      <c r="K914" s="15"/>
      <c r="L914" s="15"/>
      <c r="M914" s="44"/>
      <c r="N914" s="44"/>
      <c r="O914" s="44">
        <f t="shared" si="599"/>
        <v>226969</v>
      </c>
      <c r="P914" s="19">
        <f t="shared" si="600"/>
        <v>9306</v>
      </c>
      <c r="Q914" s="19">
        <f t="shared" si="589"/>
        <v>236275</v>
      </c>
      <c r="R914" s="6">
        <f t="shared" si="601"/>
        <v>1819</v>
      </c>
      <c r="S914" s="6"/>
      <c r="T914" s="6"/>
      <c r="U914" s="126">
        <f t="shared" si="592"/>
        <v>1152</v>
      </c>
      <c r="V914" s="126">
        <f>Q914*$V$4</f>
        <v>264</v>
      </c>
      <c r="W914" s="6"/>
      <c r="X914" s="6"/>
      <c r="Y914" s="6"/>
      <c r="Z914" s="6"/>
      <c r="AA914" s="19">
        <f t="shared" si="602"/>
        <v>239510</v>
      </c>
      <c r="AB914" s="19">
        <f t="shared" si="603"/>
        <v>258101</v>
      </c>
      <c r="AC914" s="15">
        <f t="shared" si="595"/>
        <v>4762.8900000000003</v>
      </c>
      <c r="AD914" s="15">
        <f t="shared" si="596"/>
        <v>258101.01</v>
      </c>
      <c r="AE914" s="25"/>
      <c r="AF914" s="157">
        <f t="shared" si="549"/>
        <v>0.01</v>
      </c>
    </row>
    <row r="915" spans="1:32" s="51" customFormat="1" x14ac:dyDescent="0.25">
      <c r="A915" s="108" t="s">
        <v>202</v>
      </c>
      <c r="B915" s="88" t="s">
        <v>203</v>
      </c>
      <c r="C915" s="92"/>
      <c r="D915" s="93"/>
      <c r="E915" s="94"/>
      <c r="F915" s="94"/>
      <c r="G915" s="94"/>
      <c r="H915" s="111">
        <v>557760</v>
      </c>
      <c r="I915" s="20"/>
      <c r="J915" s="20">
        <f>557.76*1000</f>
        <v>557760</v>
      </c>
      <c r="K915" s="20" t="s">
        <v>204</v>
      </c>
      <c r="L915" s="20">
        <f>H915-J915</f>
        <v>0</v>
      </c>
      <c r="M915" s="95">
        <v>5086760</v>
      </c>
      <c r="N915" s="50">
        <f>SUM(O916:O920)-M915</f>
        <v>2</v>
      </c>
      <c r="O915" s="95"/>
      <c r="P915" s="50"/>
      <c r="Q915" s="50"/>
      <c r="R915" s="50"/>
      <c r="S915" s="30"/>
      <c r="T915" s="30"/>
      <c r="U915" s="126"/>
      <c r="V915" s="126"/>
      <c r="W915" s="50"/>
      <c r="X915" s="30"/>
      <c r="Y915" s="30"/>
      <c r="Z915" s="30"/>
      <c r="AA915" s="50"/>
      <c r="AB915" s="50"/>
      <c r="AC915" s="20"/>
      <c r="AD915" s="20"/>
      <c r="AE915" s="97"/>
      <c r="AF915" s="157">
        <f t="shared" si="549"/>
        <v>0</v>
      </c>
    </row>
    <row r="916" spans="1:32" s="4" customFormat="1" ht="25.5" x14ac:dyDescent="0.25">
      <c r="A916" s="64" t="s">
        <v>205</v>
      </c>
      <c r="B916" s="55" t="s">
        <v>156</v>
      </c>
      <c r="C916" s="46" t="s">
        <v>72</v>
      </c>
      <c r="D916" s="47">
        <f>526+136</f>
        <v>662</v>
      </c>
      <c r="E916" s="45">
        <f>H916/D916</f>
        <v>94.2</v>
      </c>
      <c r="F916" s="45"/>
      <c r="G916" s="45"/>
      <c r="H916" s="44">
        <v>62359</v>
      </c>
      <c r="I916" s="15"/>
      <c r="J916" s="15"/>
      <c r="K916" s="15"/>
      <c r="L916" s="15"/>
      <c r="M916" s="44"/>
      <c r="N916" s="44"/>
      <c r="O916" s="44">
        <f>H916*9.12</f>
        <v>568714</v>
      </c>
      <c r="P916" s="19">
        <f>O916*4.1%</f>
        <v>23317</v>
      </c>
      <c r="Q916" s="19">
        <f>SUM(O916:P916)</f>
        <v>592031</v>
      </c>
      <c r="R916" s="6">
        <f>Q916*0.7%</f>
        <v>4144</v>
      </c>
      <c r="S916" s="6"/>
      <c r="T916" s="6"/>
      <c r="U916" s="126">
        <f>Q916*$U$4</f>
        <v>2888</v>
      </c>
      <c r="V916" s="126">
        <f>Q916*$V$4</f>
        <v>663</v>
      </c>
      <c r="W916" s="6"/>
      <c r="X916" s="6"/>
      <c r="Y916" s="6"/>
      <c r="Z916" s="6"/>
      <c r="AA916" s="19">
        <f>SUM(Q916:Z916)</f>
        <v>599726</v>
      </c>
      <c r="AB916" s="19">
        <f>$AA916*AB$7</f>
        <v>646277</v>
      </c>
      <c r="AC916" s="15">
        <f>AB916/D916</f>
        <v>976.25</v>
      </c>
      <c r="AD916" s="15">
        <f>AC916*D916</f>
        <v>646277.5</v>
      </c>
      <c r="AE916" s="25"/>
      <c r="AF916" s="157">
        <f t="shared" si="549"/>
        <v>0.5</v>
      </c>
    </row>
    <row r="917" spans="1:32" s="4" customFormat="1" ht="25.5" x14ac:dyDescent="0.25">
      <c r="A917" s="64" t="s">
        <v>564</v>
      </c>
      <c r="B917" s="55" t="s">
        <v>565</v>
      </c>
      <c r="C917" s="46" t="s">
        <v>72</v>
      </c>
      <c r="D917" s="47">
        <f>526+136</f>
        <v>662</v>
      </c>
      <c r="E917" s="45">
        <f t="shared" ref="E917:E920" si="604">H917/D917</f>
        <v>113.66</v>
      </c>
      <c r="F917" s="45"/>
      <c r="G917" s="45"/>
      <c r="H917" s="44">
        <v>75240</v>
      </c>
      <c r="I917" s="15"/>
      <c r="J917" s="15"/>
      <c r="K917" s="15"/>
      <c r="L917" s="15"/>
      <c r="M917" s="44"/>
      <c r="N917" s="44"/>
      <c r="O917" s="44">
        <f>H917*9.12</f>
        <v>686189</v>
      </c>
      <c r="P917" s="19">
        <f>O917*4.1%</f>
        <v>28134</v>
      </c>
      <c r="Q917" s="19">
        <f>SUM(O917:P917)</f>
        <v>714323</v>
      </c>
      <c r="R917" s="6">
        <f>Q917*0.7%</f>
        <v>5000</v>
      </c>
      <c r="S917" s="6"/>
      <c r="T917" s="6"/>
      <c r="U917" s="126">
        <f>Q917*$U$4</f>
        <v>3484</v>
      </c>
      <c r="V917" s="126">
        <f>Q917*$V$4</f>
        <v>800</v>
      </c>
      <c r="W917" s="6"/>
      <c r="X917" s="6"/>
      <c r="Y917" s="6"/>
      <c r="Z917" s="6"/>
      <c r="AA917" s="19">
        <f>SUM(Q917:Z917)</f>
        <v>723607</v>
      </c>
      <c r="AB917" s="19">
        <f>$AA917*AB$7</f>
        <v>779773</v>
      </c>
      <c r="AC917" s="15">
        <f>AB917/D917</f>
        <v>1177.9000000000001</v>
      </c>
      <c r="AD917" s="15">
        <f>AC917*D917</f>
        <v>779769.8</v>
      </c>
      <c r="AE917" s="25"/>
      <c r="AF917" s="157">
        <f t="shared" si="549"/>
        <v>-3.2</v>
      </c>
    </row>
    <row r="918" spans="1:32" s="4" customFormat="1" x14ac:dyDescent="0.25">
      <c r="A918" s="64" t="s">
        <v>566</v>
      </c>
      <c r="B918" s="55" t="s">
        <v>567</v>
      </c>
      <c r="C918" s="46" t="s">
        <v>70</v>
      </c>
      <c r="D918" s="47">
        <f>700+415</f>
        <v>1115</v>
      </c>
      <c r="E918" s="45">
        <f t="shared" si="604"/>
        <v>331.7</v>
      </c>
      <c r="F918" s="45"/>
      <c r="G918" s="45"/>
      <c r="H918" s="44">
        <v>369841</v>
      </c>
      <c r="I918" s="15"/>
      <c r="J918" s="15"/>
      <c r="K918" s="15"/>
      <c r="L918" s="15"/>
      <c r="M918" s="44"/>
      <c r="N918" s="44"/>
      <c r="O918" s="44">
        <f>H918*9.12</f>
        <v>3372950</v>
      </c>
      <c r="P918" s="19">
        <f>O918*4.1%</f>
        <v>138291</v>
      </c>
      <c r="Q918" s="19">
        <f>SUM(O918:P918)</f>
        <v>3511241</v>
      </c>
      <c r="R918" s="6">
        <f>Q918*0.7%</f>
        <v>24579</v>
      </c>
      <c r="S918" s="6"/>
      <c r="T918" s="6"/>
      <c r="U918" s="126">
        <f>Q918*$U$4</f>
        <v>17126</v>
      </c>
      <c r="V918" s="126">
        <f>Q918*$V$4</f>
        <v>3931</v>
      </c>
      <c r="W918" s="6"/>
      <c r="X918" s="6"/>
      <c r="Y918" s="6"/>
      <c r="Z918" s="6"/>
      <c r="AA918" s="19">
        <f>SUM(Q918:Z918)</f>
        <v>3556877</v>
      </c>
      <c r="AB918" s="19">
        <f>$AA918*AB$7</f>
        <v>3832962</v>
      </c>
      <c r="AC918" s="15">
        <f>AB918/D918</f>
        <v>3437.63</v>
      </c>
      <c r="AD918" s="15">
        <f>AC918*D918</f>
        <v>3832957.45</v>
      </c>
      <c r="AE918" s="25"/>
      <c r="AF918" s="157">
        <f t="shared" si="549"/>
        <v>-4.55</v>
      </c>
    </row>
    <row r="919" spans="1:32" s="4" customFormat="1" x14ac:dyDescent="0.25">
      <c r="A919" s="64" t="s">
        <v>568</v>
      </c>
      <c r="B919" s="55" t="s">
        <v>569</v>
      </c>
      <c r="C919" s="46" t="s">
        <v>72</v>
      </c>
      <c r="D919" s="47">
        <v>154</v>
      </c>
      <c r="E919" s="45">
        <f t="shared" si="604"/>
        <v>86.47</v>
      </c>
      <c r="F919" s="45"/>
      <c r="G919" s="45"/>
      <c r="H919" s="44">
        <v>13317</v>
      </c>
      <c r="I919" s="15"/>
      <c r="J919" s="15"/>
      <c r="K919" s="15"/>
      <c r="L919" s="15"/>
      <c r="M919" s="44"/>
      <c r="N919" s="44"/>
      <c r="O919" s="44">
        <f>H919*9.12</f>
        <v>121451</v>
      </c>
      <c r="P919" s="19">
        <f>O919*4.1%</f>
        <v>4979</v>
      </c>
      <c r="Q919" s="19">
        <f>SUM(O919:P919)</f>
        <v>126430</v>
      </c>
      <c r="R919" s="6">
        <f>Q919*0.7%</f>
        <v>885</v>
      </c>
      <c r="S919" s="6"/>
      <c r="T919" s="6"/>
      <c r="U919" s="126">
        <f>Q919*$U$4</f>
        <v>617</v>
      </c>
      <c r="V919" s="126">
        <f>Q919*$V$4</f>
        <v>142</v>
      </c>
      <c r="W919" s="6"/>
      <c r="X919" s="6"/>
      <c r="Y919" s="6"/>
      <c r="Z919" s="6"/>
      <c r="AA919" s="19">
        <f>SUM(Q919:Z919)</f>
        <v>128074</v>
      </c>
      <c r="AB919" s="19">
        <f>$AA919*AB$7</f>
        <v>138015</v>
      </c>
      <c r="AC919" s="15">
        <f>AB919/D919</f>
        <v>896.2</v>
      </c>
      <c r="AD919" s="15">
        <f>AC919*D919</f>
        <v>138014.79999999999</v>
      </c>
      <c r="AE919" s="25"/>
      <c r="AF919" s="157">
        <f t="shared" si="549"/>
        <v>-0.2</v>
      </c>
    </row>
    <row r="920" spans="1:32" s="4" customFormat="1" ht="25.5" x14ac:dyDescent="0.25">
      <c r="A920" s="64" t="s">
        <v>570</v>
      </c>
      <c r="B920" s="55" t="s">
        <v>563</v>
      </c>
      <c r="C920" s="46" t="s">
        <v>72</v>
      </c>
      <c r="D920" s="47">
        <f>345+1240</f>
        <v>1585</v>
      </c>
      <c r="E920" s="45">
        <f t="shared" si="604"/>
        <v>23.35</v>
      </c>
      <c r="F920" s="45"/>
      <c r="G920" s="45"/>
      <c r="H920" s="44">
        <v>37002</v>
      </c>
      <c r="I920" s="15"/>
      <c r="J920" s="15"/>
      <c r="K920" s="15"/>
      <c r="L920" s="15"/>
      <c r="M920" s="44"/>
      <c r="N920" s="44"/>
      <c r="O920" s="44">
        <f>H920*9.12</f>
        <v>337458</v>
      </c>
      <c r="P920" s="19">
        <f>O920*4.1%</f>
        <v>13836</v>
      </c>
      <c r="Q920" s="19">
        <f>SUM(O920:P920)</f>
        <v>351294</v>
      </c>
      <c r="R920" s="6">
        <f>Q920*0.7%</f>
        <v>2459</v>
      </c>
      <c r="S920" s="6"/>
      <c r="T920" s="6"/>
      <c r="U920" s="126">
        <f>Q920*$U$4</f>
        <v>1713</v>
      </c>
      <c r="V920" s="126">
        <f>Q920*$V$4</f>
        <v>393</v>
      </c>
      <c r="W920" s="6"/>
      <c r="X920" s="6"/>
      <c r="Y920" s="6"/>
      <c r="Z920" s="6"/>
      <c r="AA920" s="19">
        <f>SUM(Q920:Z920)</f>
        <v>355859</v>
      </c>
      <c r="AB920" s="19">
        <f>$AA920*AB$7</f>
        <v>383481</v>
      </c>
      <c r="AC920" s="15">
        <f>AB920/D920</f>
        <v>241.94</v>
      </c>
      <c r="AD920" s="15">
        <f>AC920*D920</f>
        <v>383474.9</v>
      </c>
      <c r="AE920" s="25"/>
      <c r="AF920" s="157">
        <f t="shared" si="549"/>
        <v>-6.1</v>
      </c>
    </row>
    <row r="921" spans="1:32" s="51" customFormat="1" x14ac:dyDescent="0.25">
      <c r="A921" s="108" t="s">
        <v>206</v>
      </c>
      <c r="B921" s="56" t="s">
        <v>207</v>
      </c>
      <c r="C921" s="92"/>
      <c r="D921" s="93"/>
      <c r="E921" s="112"/>
      <c r="F921" s="112"/>
      <c r="G921" s="112"/>
      <c r="H921" s="111">
        <v>24846110</v>
      </c>
      <c r="I921" s="20"/>
      <c r="J921" s="20">
        <f>24846.11*1000</f>
        <v>24846110</v>
      </c>
      <c r="K921" s="20" t="s">
        <v>209</v>
      </c>
      <c r="L921" s="20">
        <f>H921-J921</f>
        <v>0</v>
      </c>
      <c r="M921" s="95">
        <v>226596570</v>
      </c>
      <c r="N921" s="50">
        <f>O922-M921</f>
        <v>-47</v>
      </c>
      <c r="O921" s="95"/>
      <c r="P921" s="50"/>
      <c r="Q921" s="50"/>
      <c r="R921" s="50"/>
      <c r="S921" s="30"/>
      <c r="T921" s="30"/>
      <c r="U921" s="126"/>
      <c r="V921" s="126"/>
      <c r="W921" s="50"/>
      <c r="X921" s="30"/>
      <c r="Y921" s="30"/>
      <c r="Z921" s="30"/>
      <c r="AA921" s="50"/>
      <c r="AB921" s="50"/>
      <c r="AC921" s="20"/>
      <c r="AD921" s="20"/>
      <c r="AE921" s="97"/>
      <c r="AF921" s="157">
        <f t="shared" si="549"/>
        <v>0</v>
      </c>
    </row>
    <row r="922" spans="1:32" s="43" customFormat="1" ht="25.5" x14ac:dyDescent="0.25">
      <c r="A922" s="64" t="s">
        <v>208</v>
      </c>
      <c r="B922" s="55" t="s">
        <v>728</v>
      </c>
      <c r="C922" s="12" t="s">
        <v>72</v>
      </c>
      <c r="D922" s="13">
        <f>100770+922266+97498+11496+34509+10744+34655+5133+1085+2699</f>
        <v>1220855</v>
      </c>
      <c r="E922" s="14">
        <f>H922/D922</f>
        <v>20.350000000000001</v>
      </c>
      <c r="F922" s="14"/>
      <c r="G922" s="14"/>
      <c r="H922" s="22">
        <v>24846110</v>
      </c>
      <c r="I922" s="15"/>
      <c r="J922" s="15"/>
      <c r="K922" s="15"/>
      <c r="L922" s="15"/>
      <c r="M922" s="44"/>
      <c r="N922" s="44"/>
      <c r="O922" s="44">
        <f>H922*9.12</f>
        <v>226596523</v>
      </c>
      <c r="P922" s="19">
        <f>O922*4.1%</f>
        <v>9290457</v>
      </c>
      <c r="Q922" s="19">
        <f>SUM(O922:P922)</f>
        <v>235886980</v>
      </c>
      <c r="R922" s="6">
        <f>Q922*0.49%</f>
        <v>1155846</v>
      </c>
      <c r="S922" s="6"/>
      <c r="T922" s="6"/>
      <c r="U922" s="126">
        <f>Q922*$U$4</f>
        <v>1150524</v>
      </c>
      <c r="V922" s="126">
        <f>Q922*$V$4</f>
        <v>264064</v>
      </c>
      <c r="W922" s="6"/>
      <c r="X922" s="6"/>
      <c r="Y922" s="6"/>
      <c r="Z922" s="6"/>
      <c r="AA922" s="19">
        <f>SUM(Q922:Z922)</f>
        <v>238457414</v>
      </c>
      <c r="AB922" s="19">
        <f>$AA922*AB$7</f>
        <v>256966478</v>
      </c>
      <c r="AC922" s="15">
        <f>AB922/D922</f>
        <v>210.48</v>
      </c>
      <c r="AD922" s="15">
        <f>AC922*D922</f>
        <v>256965560.40000001</v>
      </c>
      <c r="AE922" s="75"/>
      <c r="AF922" s="157">
        <f t="shared" si="549"/>
        <v>-917.6</v>
      </c>
    </row>
    <row r="923" spans="1:32" s="4" customFormat="1" x14ac:dyDescent="0.25">
      <c r="A923" s="23" t="s">
        <v>210</v>
      </c>
      <c r="B923" s="11" t="s">
        <v>211</v>
      </c>
      <c r="C923" s="12"/>
      <c r="D923" s="13"/>
      <c r="E923" s="14"/>
      <c r="F923" s="14"/>
      <c r="G923" s="14"/>
      <c r="H923" s="22"/>
      <c r="I923" s="15"/>
      <c r="J923" s="15"/>
      <c r="K923" s="15"/>
      <c r="L923" s="15"/>
      <c r="M923" s="22"/>
      <c r="N923" s="22"/>
      <c r="O923" s="22"/>
      <c r="P923" s="19"/>
      <c r="Q923" s="19"/>
      <c r="R923" s="6"/>
      <c r="S923" s="6"/>
      <c r="T923" s="6"/>
      <c r="U923" s="6"/>
      <c r="V923" s="6"/>
      <c r="W923" s="6"/>
      <c r="X923" s="6"/>
      <c r="Y923" s="6"/>
      <c r="Z923" s="6"/>
      <c r="AA923" s="19"/>
      <c r="AB923" s="19"/>
      <c r="AC923" s="15"/>
      <c r="AD923" s="15"/>
      <c r="AE923" s="42"/>
      <c r="AF923" s="157">
        <f t="shared" si="549"/>
        <v>0</v>
      </c>
    </row>
    <row r="924" spans="1:32" s="91" customFormat="1" ht="25.5" x14ac:dyDescent="0.25">
      <c r="A924" s="87" t="s">
        <v>212</v>
      </c>
      <c r="B924" s="88" t="s">
        <v>213</v>
      </c>
      <c r="C924" s="92"/>
      <c r="D924" s="93"/>
      <c r="E924" s="94"/>
      <c r="F924" s="94"/>
      <c r="G924" s="94"/>
      <c r="H924" s="111">
        <v>350020</v>
      </c>
      <c r="I924" s="20"/>
      <c r="J924" s="20">
        <f>350.02*1000</f>
        <v>350020</v>
      </c>
      <c r="K924" s="20" t="s">
        <v>253</v>
      </c>
      <c r="L924" s="20">
        <f>H924-J924</f>
        <v>0</v>
      </c>
      <c r="M924" s="50">
        <v>12733330</v>
      </c>
      <c r="N924" s="50">
        <f>SUM(O925:O933)-M924</f>
        <v>180</v>
      </c>
      <c r="O924" s="50"/>
      <c r="P924" s="95"/>
      <c r="Q924" s="50"/>
      <c r="R924" s="95"/>
      <c r="S924" s="95"/>
      <c r="T924" s="95"/>
      <c r="U924" s="95"/>
      <c r="V924" s="95"/>
      <c r="W924" s="95"/>
      <c r="X924" s="95"/>
      <c r="Y924" s="95"/>
      <c r="Z924" s="95"/>
      <c r="AA924" s="50"/>
      <c r="AB924" s="50"/>
      <c r="AC924" s="20"/>
      <c r="AD924" s="20"/>
      <c r="AF924" s="157">
        <f t="shared" si="549"/>
        <v>0</v>
      </c>
    </row>
    <row r="925" spans="1:32" s="43" customFormat="1" x14ac:dyDescent="0.25">
      <c r="A925" s="64" t="s">
        <v>214</v>
      </c>
      <c r="B925" s="76" t="s">
        <v>1464</v>
      </c>
      <c r="C925" s="16" t="s">
        <v>83</v>
      </c>
      <c r="D925" s="13">
        <v>4</v>
      </c>
      <c r="E925" s="14">
        <f t="shared" ref="E925:E933" si="605">H925/D925</f>
        <v>38343.5</v>
      </c>
      <c r="F925" s="14"/>
      <c r="G925" s="14"/>
      <c r="H925" s="22">
        <f>0.8*191717.17</f>
        <v>153374</v>
      </c>
      <c r="I925" s="15"/>
      <c r="J925" s="15"/>
      <c r="K925" s="15"/>
      <c r="L925" s="15"/>
      <c r="M925" s="22"/>
      <c r="N925" s="22"/>
      <c r="O925" s="22">
        <f>H925*36.38</f>
        <v>5579746</v>
      </c>
      <c r="P925" s="19"/>
      <c r="Q925" s="19">
        <f>SUM(O925:P925)</f>
        <v>5579746</v>
      </c>
      <c r="R925" s="6"/>
      <c r="S925" s="6"/>
      <c r="T925" s="6"/>
      <c r="U925" s="6"/>
      <c r="V925" s="6"/>
      <c r="W925" s="6"/>
      <c r="X925" s="6"/>
      <c r="Y925" s="6"/>
      <c r="Z925" s="6"/>
      <c r="AA925" s="19">
        <f>SUM(Q925:Z925)</f>
        <v>5579746</v>
      </c>
      <c r="AB925" s="19">
        <f>$AA925*AB$7</f>
        <v>6012846</v>
      </c>
      <c r="AC925" s="15">
        <f t="shared" ref="AC925:AC933" si="606">AB925/D925</f>
        <v>1503211.5</v>
      </c>
      <c r="AD925" s="15">
        <f t="shared" ref="AD925:AD933" si="607">AC925*D925</f>
        <v>6012846</v>
      </c>
      <c r="AF925" s="157">
        <f t="shared" si="549"/>
        <v>0</v>
      </c>
    </row>
    <row r="926" spans="1:32" s="43" customFormat="1" x14ac:dyDescent="0.25">
      <c r="A926" s="64" t="s">
        <v>729</v>
      </c>
      <c r="B926" s="76" t="s">
        <v>1465</v>
      </c>
      <c r="C926" s="16" t="s">
        <v>83</v>
      </c>
      <c r="D926" s="13">
        <v>6</v>
      </c>
      <c r="E926" s="14">
        <f t="shared" si="605"/>
        <v>1541.17</v>
      </c>
      <c r="F926" s="14"/>
      <c r="G926" s="14"/>
      <c r="H926" s="22">
        <f>0.8*11559.36</f>
        <v>9247</v>
      </c>
      <c r="I926" s="15"/>
      <c r="J926" s="15"/>
      <c r="K926" s="15"/>
      <c r="L926" s="15"/>
      <c r="M926" s="22"/>
      <c r="N926" s="22"/>
      <c r="O926" s="22">
        <f t="shared" ref="O926:O933" si="608">H926*36.38</f>
        <v>336406</v>
      </c>
      <c r="P926" s="19"/>
      <c r="Q926" s="19">
        <f t="shared" ref="Q926:Q933" si="609">SUM(O926:P926)</f>
        <v>336406</v>
      </c>
      <c r="R926" s="6"/>
      <c r="S926" s="6"/>
      <c r="T926" s="6"/>
      <c r="U926" s="6"/>
      <c r="V926" s="6"/>
      <c r="W926" s="6"/>
      <c r="X926" s="6"/>
      <c r="Y926" s="6"/>
      <c r="Z926" s="6"/>
      <c r="AA926" s="19">
        <f t="shared" ref="AA926:AA932" si="610">SUM(Q926:Z926)</f>
        <v>336406</v>
      </c>
      <c r="AB926" s="19">
        <f t="shared" ref="AB926:AB933" si="611">$AA926*AB$7</f>
        <v>362518</v>
      </c>
      <c r="AC926" s="15">
        <f t="shared" si="606"/>
        <v>60419.67</v>
      </c>
      <c r="AD926" s="15">
        <f t="shared" si="607"/>
        <v>362518.02</v>
      </c>
      <c r="AF926" s="157">
        <f t="shared" si="549"/>
        <v>0.02</v>
      </c>
    </row>
    <row r="927" spans="1:32" s="43" customFormat="1" x14ac:dyDescent="0.25">
      <c r="A927" s="64" t="s">
        <v>730</v>
      </c>
      <c r="B927" s="76" t="s">
        <v>1466</v>
      </c>
      <c r="C927" s="16" t="s">
        <v>83</v>
      </c>
      <c r="D927" s="13">
        <v>2</v>
      </c>
      <c r="E927" s="14">
        <f>H927/D927</f>
        <v>1917.5</v>
      </c>
      <c r="F927" s="14"/>
      <c r="G927" s="14"/>
      <c r="H927" s="22">
        <f>0.8*4794</f>
        <v>3835</v>
      </c>
      <c r="I927" s="15"/>
      <c r="J927" s="15"/>
      <c r="K927" s="15"/>
      <c r="L927" s="15"/>
      <c r="M927" s="22"/>
      <c r="N927" s="22"/>
      <c r="O927" s="22">
        <f>H927*36.38</f>
        <v>139517</v>
      </c>
      <c r="P927" s="19"/>
      <c r="Q927" s="19">
        <f>SUM(O927:P927)</f>
        <v>139517</v>
      </c>
      <c r="R927" s="6"/>
      <c r="S927" s="6"/>
      <c r="T927" s="6"/>
      <c r="U927" s="6"/>
      <c r="V927" s="6"/>
      <c r="W927" s="6"/>
      <c r="X927" s="6"/>
      <c r="Y927" s="6"/>
      <c r="Z927" s="6"/>
      <c r="AA927" s="19">
        <f>SUM(Q927:Z927)</f>
        <v>139517</v>
      </c>
      <c r="AB927" s="19">
        <f>$AA927*AB$7</f>
        <v>150346</v>
      </c>
      <c r="AC927" s="15">
        <f>AB927/D927</f>
        <v>75173</v>
      </c>
      <c r="AD927" s="15">
        <f>AC927*D927</f>
        <v>150346</v>
      </c>
      <c r="AF927" s="157">
        <f>AD927-AB927</f>
        <v>0</v>
      </c>
    </row>
    <row r="928" spans="1:32" s="43" customFormat="1" x14ac:dyDescent="0.25">
      <c r="A928" s="64" t="s">
        <v>731</v>
      </c>
      <c r="B928" s="76" t="s">
        <v>1467</v>
      </c>
      <c r="C928" s="16" t="s">
        <v>83</v>
      </c>
      <c r="D928" s="13">
        <v>2</v>
      </c>
      <c r="E928" s="14">
        <f t="shared" si="605"/>
        <v>3894</v>
      </c>
      <c r="F928" s="14"/>
      <c r="G928" s="14"/>
      <c r="H928" s="22">
        <f>0.8*9735.22</f>
        <v>7788</v>
      </c>
      <c r="I928" s="15"/>
      <c r="J928" s="15"/>
      <c r="K928" s="15"/>
      <c r="L928" s="15"/>
      <c r="M928" s="22"/>
      <c r="N928" s="22"/>
      <c r="O928" s="22">
        <f t="shared" si="608"/>
        <v>283327</v>
      </c>
      <c r="P928" s="19"/>
      <c r="Q928" s="19">
        <f t="shared" si="609"/>
        <v>283327</v>
      </c>
      <c r="R928" s="6"/>
      <c r="S928" s="6"/>
      <c r="T928" s="6"/>
      <c r="U928" s="6"/>
      <c r="V928" s="6"/>
      <c r="W928" s="6"/>
      <c r="X928" s="6"/>
      <c r="Y928" s="6"/>
      <c r="Z928" s="6"/>
      <c r="AA928" s="19">
        <f t="shared" si="610"/>
        <v>283327</v>
      </c>
      <c r="AB928" s="19">
        <f t="shared" si="611"/>
        <v>305319</v>
      </c>
      <c r="AC928" s="15">
        <f t="shared" si="606"/>
        <v>152659.5</v>
      </c>
      <c r="AD928" s="15">
        <f t="shared" si="607"/>
        <v>305319</v>
      </c>
      <c r="AF928" s="157">
        <f t="shared" si="549"/>
        <v>0</v>
      </c>
    </row>
    <row r="929" spans="1:32" s="43" customFormat="1" x14ac:dyDescent="0.25">
      <c r="A929" s="64" t="s">
        <v>732</v>
      </c>
      <c r="B929" s="76" t="s">
        <v>1468</v>
      </c>
      <c r="C929" s="16" t="s">
        <v>83</v>
      </c>
      <c r="D929" s="13">
        <v>1</v>
      </c>
      <c r="E929" s="14">
        <f t="shared" si="605"/>
        <v>2024</v>
      </c>
      <c r="F929" s="14"/>
      <c r="G929" s="14"/>
      <c r="H929" s="22">
        <f>0.8*2530</f>
        <v>2024</v>
      </c>
      <c r="I929" s="15"/>
      <c r="J929" s="15"/>
      <c r="K929" s="15"/>
      <c r="L929" s="15"/>
      <c r="M929" s="22"/>
      <c r="N929" s="22"/>
      <c r="O929" s="22">
        <f t="shared" si="608"/>
        <v>73633</v>
      </c>
      <c r="P929" s="19"/>
      <c r="Q929" s="19">
        <f t="shared" si="609"/>
        <v>73633</v>
      </c>
      <c r="R929" s="6"/>
      <c r="S929" s="6"/>
      <c r="T929" s="6"/>
      <c r="U929" s="6"/>
      <c r="V929" s="6"/>
      <c r="W929" s="6"/>
      <c r="X929" s="6"/>
      <c r="Y929" s="6"/>
      <c r="Z929" s="6"/>
      <c r="AA929" s="19">
        <f t="shared" si="610"/>
        <v>73633</v>
      </c>
      <c r="AB929" s="19">
        <f t="shared" si="611"/>
        <v>79348</v>
      </c>
      <c r="AC929" s="15">
        <f t="shared" si="606"/>
        <v>79348</v>
      </c>
      <c r="AD929" s="15">
        <f t="shared" si="607"/>
        <v>79348</v>
      </c>
      <c r="AF929" s="157">
        <f t="shared" ref="AF929:AF943" si="612">AD929-AB929</f>
        <v>0</v>
      </c>
    </row>
    <row r="930" spans="1:32" s="43" customFormat="1" x14ac:dyDescent="0.25">
      <c r="A930" s="64" t="s">
        <v>733</v>
      </c>
      <c r="B930" s="76" t="s">
        <v>1469</v>
      </c>
      <c r="C930" s="16" t="s">
        <v>83</v>
      </c>
      <c r="D930" s="13">
        <v>1</v>
      </c>
      <c r="E930" s="14">
        <f t="shared" si="605"/>
        <v>109960</v>
      </c>
      <c r="F930" s="14"/>
      <c r="G930" s="14"/>
      <c r="H930" s="22">
        <f>0.8*137450</f>
        <v>109960</v>
      </c>
      <c r="I930" s="15"/>
      <c r="J930" s="15"/>
      <c r="K930" s="15"/>
      <c r="L930" s="15"/>
      <c r="M930" s="22"/>
      <c r="N930" s="22"/>
      <c r="O930" s="22">
        <f>H930*36.38</f>
        <v>4000345</v>
      </c>
      <c r="P930" s="19"/>
      <c r="Q930" s="19">
        <f t="shared" si="609"/>
        <v>4000345</v>
      </c>
      <c r="R930" s="6"/>
      <c r="S930" s="6"/>
      <c r="T930" s="6"/>
      <c r="U930" s="6"/>
      <c r="V930" s="6"/>
      <c r="W930" s="6"/>
      <c r="X930" s="6"/>
      <c r="Y930" s="6"/>
      <c r="Z930" s="6"/>
      <c r="AA930" s="19">
        <f t="shared" si="610"/>
        <v>4000345</v>
      </c>
      <c r="AB930" s="19">
        <f t="shared" si="611"/>
        <v>4310852</v>
      </c>
      <c r="AC930" s="15">
        <f t="shared" si="606"/>
        <v>4310852</v>
      </c>
      <c r="AD930" s="15">
        <f t="shared" si="607"/>
        <v>4310852</v>
      </c>
      <c r="AF930" s="157">
        <f t="shared" si="612"/>
        <v>0</v>
      </c>
    </row>
    <row r="931" spans="1:32" s="43" customFormat="1" x14ac:dyDescent="0.25">
      <c r="A931" s="64" t="s">
        <v>734</v>
      </c>
      <c r="B931" s="76" t="s">
        <v>1470</v>
      </c>
      <c r="C931" s="16" t="s">
        <v>83</v>
      </c>
      <c r="D931" s="13">
        <v>1</v>
      </c>
      <c r="E931" s="14">
        <f t="shared" si="605"/>
        <v>21262</v>
      </c>
      <c r="F931" s="14"/>
      <c r="G931" s="14"/>
      <c r="H931" s="22">
        <f>0.7*30373.98</f>
        <v>21262</v>
      </c>
      <c r="I931" s="15"/>
      <c r="J931" s="15"/>
      <c r="K931" s="15"/>
      <c r="L931" s="15"/>
      <c r="M931" s="22"/>
      <c r="N931" s="22"/>
      <c r="O931" s="22">
        <f t="shared" si="608"/>
        <v>773512</v>
      </c>
      <c r="P931" s="19"/>
      <c r="Q931" s="19">
        <f t="shared" si="609"/>
        <v>773512</v>
      </c>
      <c r="R931" s="6"/>
      <c r="S931" s="6"/>
      <c r="T931" s="6"/>
      <c r="U931" s="6"/>
      <c r="V931" s="6"/>
      <c r="W931" s="6"/>
      <c r="X931" s="6"/>
      <c r="Y931" s="6"/>
      <c r="Z931" s="6"/>
      <c r="AA931" s="19">
        <f t="shared" si="610"/>
        <v>773512</v>
      </c>
      <c r="AB931" s="19">
        <f t="shared" si="611"/>
        <v>833552</v>
      </c>
      <c r="AC931" s="15">
        <f t="shared" si="606"/>
        <v>833552</v>
      </c>
      <c r="AD931" s="15">
        <f t="shared" si="607"/>
        <v>833552</v>
      </c>
      <c r="AF931" s="157">
        <f t="shared" si="612"/>
        <v>0</v>
      </c>
    </row>
    <row r="932" spans="1:32" s="43" customFormat="1" x14ac:dyDescent="0.25">
      <c r="A932" s="64" t="s">
        <v>735</v>
      </c>
      <c r="B932" s="76" t="s">
        <v>1471</v>
      </c>
      <c r="C932" s="16" t="s">
        <v>83</v>
      </c>
      <c r="D932" s="13">
        <v>1</v>
      </c>
      <c r="E932" s="14">
        <f t="shared" si="605"/>
        <v>21262</v>
      </c>
      <c r="F932" s="14"/>
      <c r="G932" s="14"/>
      <c r="H932" s="22">
        <f>0.7*30373.98</f>
        <v>21262</v>
      </c>
      <c r="I932" s="15"/>
      <c r="J932" s="15"/>
      <c r="K932" s="15"/>
      <c r="L932" s="15"/>
      <c r="M932" s="22"/>
      <c r="N932" s="22"/>
      <c r="O932" s="22">
        <f t="shared" si="608"/>
        <v>773512</v>
      </c>
      <c r="P932" s="19"/>
      <c r="Q932" s="19">
        <f t="shared" si="609"/>
        <v>773512</v>
      </c>
      <c r="R932" s="6"/>
      <c r="S932" s="6"/>
      <c r="T932" s="6"/>
      <c r="U932" s="6"/>
      <c r="V932" s="6"/>
      <c r="W932" s="6"/>
      <c r="X932" s="6"/>
      <c r="Y932" s="6"/>
      <c r="Z932" s="6"/>
      <c r="AA932" s="19">
        <f t="shared" si="610"/>
        <v>773512</v>
      </c>
      <c r="AB932" s="19">
        <f t="shared" si="611"/>
        <v>833552</v>
      </c>
      <c r="AC932" s="15">
        <f t="shared" si="606"/>
        <v>833552</v>
      </c>
      <c r="AD932" s="15">
        <f t="shared" si="607"/>
        <v>833552</v>
      </c>
      <c r="AF932" s="157">
        <f t="shared" si="612"/>
        <v>0</v>
      </c>
    </row>
    <row r="933" spans="1:32" s="43" customFormat="1" x14ac:dyDescent="0.25">
      <c r="A933" s="64" t="s">
        <v>736</v>
      </c>
      <c r="B933" s="76" t="s">
        <v>1472</v>
      </c>
      <c r="C933" s="16" t="s">
        <v>83</v>
      </c>
      <c r="D933" s="13">
        <v>1</v>
      </c>
      <c r="E933" s="14">
        <f t="shared" si="605"/>
        <v>21262</v>
      </c>
      <c r="F933" s="14"/>
      <c r="G933" s="14"/>
      <c r="H933" s="22">
        <f>0.7*30373.98</f>
        <v>21262</v>
      </c>
      <c r="I933" s="15"/>
      <c r="J933" s="15"/>
      <c r="K933" s="15"/>
      <c r="L933" s="15"/>
      <c r="M933" s="22"/>
      <c r="N933" s="22"/>
      <c r="O933" s="22">
        <f t="shared" si="608"/>
        <v>773512</v>
      </c>
      <c r="P933" s="19"/>
      <c r="Q933" s="19">
        <f t="shared" si="609"/>
        <v>773512</v>
      </c>
      <c r="R933" s="6"/>
      <c r="S933" s="6"/>
      <c r="T933" s="6"/>
      <c r="U933" s="6"/>
      <c r="V933" s="6"/>
      <c r="W933" s="6"/>
      <c r="X933" s="6"/>
      <c r="Y933" s="6"/>
      <c r="Z933" s="6"/>
      <c r="AA933" s="19">
        <f>SUM(Q933:Z933)</f>
        <v>773512</v>
      </c>
      <c r="AB933" s="19">
        <f t="shared" si="611"/>
        <v>833552</v>
      </c>
      <c r="AC933" s="15">
        <f t="shared" si="606"/>
        <v>833552</v>
      </c>
      <c r="AD933" s="15">
        <f t="shared" si="607"/>
        <v>833552</v>
      </c>
      <c r="AF933" s="157">
        <f t="shared" si="612"/>
        <v>0</v>
      </c>
    </row>
    <row r="934" spans="1:32" s="91" customFormat="1" x14ac:dyDescent="0.25">
      <c r="A934" s="87" t="s">
        <v>215</v>
      </c>
      <c r="B934" s="88" t="s">
        <v>851</v>
      </c>
      <c r="C934" s="92"/>
      <c r="D934" s="93"/>
      <c r="E934" s="94"/>
      <c r="F934" s="94"/>
      <c r="G934" s="94"/>
      <c r="H934" s="111">
        <v>7177728.54</v>
      </c>
      <c r="I934" s="20"/>
      <c r="J934" s="20">
        <v>7177728.54</v>
      </c>
      <c r="K934" s="20" t="s">
        <v>853</v>
      </c>
      <c r="L934" s="20">
        <f>H934-J934</f>
        <v>0</v>
      </c>
      <c r="M934" s="50">
        <v>106373937</v>
      </c>
      <c r="N934" s="50">
        <f>O935-M934</f>
        <v>0</v>
      </c>
      <c r="O934" s="50"/>
      <c r="P934" s="50"/>
      <c r="Q934" s="50"/>
      <c r="R934" s="30"/>
      <c r="S934" s="30"/>
      <c r="T934" s="30"/>
      <c r="U934" s="30"/>
      <c r="V934" s="30"/>
      <c r="W934" s="30"/>
      <c r="X934" s="30"/>
      <c r="Y934" s="30"/>
      <c r="Z934" s="30"/>
      <c r="AA934" s="50"/>
      <c r="AB934" s="50"/>
      <c r="AC934" s="20"/>
      <c r="AD934" s="20"/>
      <c r="AF934" s="157">
        <f t="shared" si="612"/>
        <v>0</v>
      </c>
    </row>
    <row r="935" spans="1:32" s="43" customFormat="1" x14ac:dyDescent="0.25">
      <c r="A935" s="64" t="s">
        <v>217</v>
      </c>
      <c r="B935" s="76" t="s">
        <v>1460</v>
      </c>
      <c r="C935" s="16" t="s">
        <v>852</v>
      </c>
      <c r="D935" s="13">
        <v>876082.5</v>
      </c>
      <c r="E935" s="14">
        <f>H935/D935</f>
        <v>8.19</v>
      </c>
      <c r="F935" s="14"/>
      <c r="G935" s="14"/>
      <c r="H935" s="22">
        <v>7177728.54</v>
      </c>
      <c r="I935" s="15"/>
      <c r="J935" s="15"/>
      <c r="K935" s="15"/>
      <c r="L935" s="15"/>
      <c r="M935" s="22"/>
      <c r="N935" s="22"/>
      <c r="O935" s="22">
        <f>H935*14.82</f>
        <v>106373937</v>
      </c>
      <c r="P935" s="19"/>
      <c r="Q935" s="19">
        <f>SUM(O935:P935)</f>
        <v>106373937</v>
      </c>
      <c r="R935" s="6"/>
      <c r="S935" s="6"/>
      <c r="T935" s="6"/>
      <c r="U935" s="6"/>
      <c r="V935" s="6"/>
      <c r="W935" s="6"/>
      <c r="X935" s="6"/>
      <c r="Y935" s="6"/>
      <c r="Z935" s="6"/>
      <c r="AA935" s="19">
        <f>SUM(Q935:Z935)</f>
        <v>106373937</v>
      </c>
      <c r="AB935" s="19">
        <f>$AA935*AB$7</f>
        <v>114630682</v>
      </c>
      <c r="AC935" s="15">
        <f>AB935/D935</f>
        <v>130.84</v>
      </c>
      <c r="AD935" s="15">
        <f>AC935*D935</f>
        <v>114626634.3</v>
      </c>
      <c r="AF935" s="157">
        <f t="shared" si="612"/>
        <v>-4047.7</v>
      </c>
    </row>
    <row r="936" spans="1:32" s="91" customFormat="1" x14ac:dyDescent="0.25">
      <c r="A936" s="87" t="s">
        <v>218</v>
      </c>
      <c r="B936" s="88" t="s">
        <v>216</v>
      </c>
      <c r="C936" s="92"/>
      <c r="D936" s="93"/>
      <c r="E936" s="94"/>
      <c r="F936" s="94"/>
      <c r="G936" s="94"/>
      <c r="H936" s="111">
        <v>10330</v>
      </c>
      <c r="I936" s="20"/>
      <c r="J936" s="20">
        <f>10.33*1000</f>
        <v>10330</v>
      </c>
      <c r="K936" s="20" t="s">
        <v>33</v>
      </c>
      <c r="L936" s="20">
        <f>H936-J936</f>
        <v>0</v>
      </c>
      <c r="M936" s="50">
        <v>63050</v>
      </c>
      <c r="N936" s="50">
        <f>O937-M936</f>
        <v>-15</v>
      </c>
      <c r="O936" s="50"/>
      <c r="P936" s="50"/>
      <c r="Q936" s="50"/>
      <c r="R936" s="30"/>
      <c r="S936" s="30"/>
      <c r="T936" s="30"/>
      <c r="U936" s="30"/>
      <c r="V936" s="30"/>
      <c r="W936" s="30"/>
      <c r="X936" s="30"/>
      <c r="Y936" s="30"/>
      <c r="Z936" s="30"/>
      <c r="AA936" s="50"/>
      <c r="AB936" s="50"/>
      <c r="AC936" s="20"/>
      <c r="AD936" s="20"/>
      <c r="AF936" s="157">
        <f t="shared" si="612"/>
        <v>0</v>
      </c>
    </row>
    <row r="937" spans="1:32" s="43" customFormat="1" x14ac:dyDescent="0.25">
      <c r="A937" s="64" t="s">
        <v>219</v>
      </c>
      <c r="B937" s="76" t="s">
        <v>216</v>
      </c>
      <c r="C937" s="16" t="s">
        <v>83</v>
      </c>
      <c r="D937" s="13">
        <v>1</v>
      </c>
      <c r="E937" s="14">
        <f>H937/D937</f>
        <v>10330</v>
      </c>
      <c r="F937" s="14"/>
      <c r="G937" s="14"/>
      <c r="H937" s="22">
        <v>10330</v>
      </c>
      <c r="I937" s="15"/>
      <c r="J937" s="15"/>
      <c r="K937" s="15"/>
      <c r="L937" s="15"/>
      <c r="M937" s="22"/>
      <c r="N937" s="22"/>
      <c r="O937" s="22">
        <f>H937*4.82*1.266</f>
        <v>63035</v>
      </c>
      <c r="P937" s="19"/>
      <c r="Q937" s="19">
        <f>SUM(O937:P937)</f>
        <v>63035</v>
      </c>
      <c r="R937" s="6"/>
      <c r="S937" s="6"/>
      <c r="T937" s="6"/>
      <c r="U937" s="6"/>
      <c r="V937" s="6"/>
      <c r="W937" s="6"/>
      <c r="X937" s="6"/>
      <c r="Y937" s="6"/>
      <c r="Z937" s="6"/>
      <c r="AA937" s="19">
        <f>SUM(Q937:Z937)</f>
        <v>63035</v>
      </c>
      <c r="AB937" s="19">
        <f>$AA937*AB$7</f>
        <v>67928</v>
      </c>
      <c r="AC937" s="15">
        <f>AB937/D937</f>
        <v>67928</v>
      </c>
      <c r="AD937" s="15">
        <f>AC937*D937</f>
        <v>67928</v>
      </c>
      <c r="AF937" s="157">
        <f t="shared" si="612"/>
        <v>0</v>
      </c>
    </row>
    <row r="938" spans="1:32" s="91" customFormat="1" x14ac:dyDescent="0.25">
      <c r="A938" s="87" t="s">
        <v>849</v>
      </c>
      <c r="B938" s="88" t="s">
        <v>3</v>
      </c>
      <c r="C938" s="169" t="s">
        <v>83</v>
      </c>
      <c r="D938" s="89">
        <v>1</v>
      </c>
      <c r="E938" s="94"/>
      <c r="F938" s="94"/>
      <c r="G938" s="94"/>
      <c r="H938" s="99">
        <v>1414530</v>
      </c>
      <c r="I938" s="20"/>
      <c r="J938" s="20">
        <f>1414.53*1000</f>
        <v>1414530</v>
      </c>
      <c r="K938" s="20" t="s">
        <v>254</v>
      </c>
      <c r="L938" s="20">
        <f>H938-J938</f>
        <v>0</v>
      </c>
      <c r="M938" s="50">
        <v>8631620</v>
      </c>
      <c r="N938" s="50">
        <f>O938-M938</f>
        <v>12</v>
      </c>
      <c r="O938" s="50">
        <f>H938*4.82*1.266</f>
        <v>8631632</v>
      </c>
      <c r="P938" s="50"/>
      <c r="Q938" s="50">
        <f>SUM(O938:P938)</f>
        <v>8631632</v>
      </c>
      <c r="R938" s="30"/>
      <c r="S938" s="30"/>
      <c r="T938" s="30"/>
      <c r="U938" s="30"/>
      <c r="V938" s="30"/>
      <c r="W938" s="30"/>
      <c r="X938" s="30"/>
      <c r="Y938" s="30"/>
      <c r="Z938" s="30"/>
      <c r="AA938" s="50">
        <f>SUM(Q938:Z938)</f>
        <v>8631632</v>
      </c>
      <c r="AB938" s="50">
        <f t="shared" ref="AB938:AB940" si="613">$AA938*AB$7</f>
        <v>9301619</v>
      </c>
      <c r="AC938" s="20">
        <f>AB938/D938</f>
        <v>9301619</v>
      </c>
      <c r="AD938" s="20">
        <f>AC938*D938</f>
        <v>9301619</v>
      </c>
      <c r="AF938" s="157">
        <f t="shared" si="612"/>
        <v>0</v>
      </c>
    </row>
    <row r="939" spans="1:32" s="51" customFormat="1" x14ac:dyDescent="0.25">
      <c r="A939" s="87" t="s">
        <v>220</v>
      </c>
      <c r="B939" s="88" t="s">
        <v>255</v>
      </c>
      <c r="C939" s="92"/>
      <c r="D939" s="93"/>
      <c r="E939" s="94"/>
      <c r="F939" s="94"/>
      <c r="G939" s="94"/>
      <c r="H939" s="111">
        <v>1725260</v>
      </c>
      <c r="I939" s="20"/>
      <c r="J939" s="20">
        <f>1725.26*1000</f>
        <v>1725260</v>
      </c>
      <c r="K939" s="20" t="s">
        <v>256</v>
      </c>
      <c r="L939" s="20">
        <f>H939-J939</f>
        <v>0</v>
      </c>
      <c r="M939" s="50">
        <v>14995460</v>
      </c>
      <c r="N939" s="50">
        <f>O940-M939</f>
        <v>0</v>
      </c>
      <c r="O939" s="50"/>
      <c r="P939" s="50"/>
      <c r="Q939" s="50"/>
      <c r="R939" s="30"/>
      <c r="S939" s="30"/>
      <c r="T939" s="30"/>
      <c r="U939" s="30"/>
      <c r="V939" s="30"/>
      <c r="W939" s="30"/>
      <c r="X939" s="30"/>
      <c r="Y939" s="30"/>
      <c r="Z939" s="30"/>
      <c r="AA939" s="50"/>
      <c r="AB939" s="50"/>
      <c r="AC939" s="20"/>
      <c r="AD939" s="20"/>
      <c r="AF939" s="157">
        <f t="shared" si="612"/>
        <v>0</v>
      </c>
    </row>
    <row r="940" spans="1:32" s="4" customFormat="1" x14ac:dyDescent="0.25">
      <c r="A940" s="64" t="s">
        <v>850</v>
      </c>
      <c r="B940" s="55" t="s">
        <v>255</v>
      </c>
      <c r="C940" s="24" t="s">
        <v>83</v>
      </c>
      <c r="D940" s="13">
        <v>1</v>
      </c>
      <c r="E940" s="14">
        <f>H940/D940</f>
        <v>1725260</v>
      </c>
      <c r="F940" s="14"/>
      <c r="G940" s="14"/>
      <c r="H940" s="22">
        <v>1725260</v>
      </c>
      <c r="I940" s="15"/>
      <c r="J940" s="15"/>
      <c r="K940" s="15"/>
      <c r="L940" s="15"/>
      <c r="M940" s="22"/>
      <c r="N940" s="22"/>
      <c r="O940" s="22">
        <f>1480.57*1000*9.12+244.69*1000*4.82*1.266-466</f>
        <v>14995460</v>
      </c>
      <c r="P940" s="19"/>
      <c r="Q940" s="19">
        <f>SUM(O940:P940)</f>
        <v>14995460</v>
      </c>
      <c r="R940" s="6"/>
      <c r="S940" s="6"/>
      <c r="T940" s="6"/>
      <c r="U940" s="6"/>
      <c r="V940" s="6"/>
      <c r="W940" s="6"/>
      <c r="X940" s="6"/>
      <c r="Y940" s="6"/>
      <c r="Z940" s="6"/>
      <c r="AA940" s="19">
        <f>SUM(Q940:Z940)</f>
        <v>14995460</v>
      </c>
      <c r="AB940" s="19">
        <f t="shared" si="613"/>
        <v>16159408</v>
      </c>
      <c r="AC940" s="15">
        <f>AB940/D940</f>
        <v>16159408</v>
      </c>
      <c r="AD940" s="15">
        <f>AC940*D940</f>
        <v>16159408</v>
      </c>
      <c r="AF940" s="157">
        <f t="shared" si="612"/>
        <v>0</v>
      </c>
    </row>
    <row r="941" spans="1:32" s="4" customFormat="1" ht="38.25" x14ac:dyDescent="0.25">
      <c r="A941" s="23" t="s">
        <v>221</v>
      </c>
      <c r="B941" s="11" t="s">
        <v>222</v>
      </c>
      <c r="C941" s="12"/>
      <c r="D941" s="13"/>
      <c r="E941" s="14"/>
      <c r="F941" s="14"/>
      <c r="G941" s="14"/>
      <c r="H941" s="22"/>
      <c r="I941" s="15"/>
      <c r="J941" s="15"/>
      <c r="K941" s="15"/>
      <c r="L941" s="15"/>
      <c r="M941" s="22"/>
      <c r="N941" s="22"/>
      <c r="O941" s="22"/>
      <c r="P941" s="19"/>
      <c r="Q941" s="19"/>
      <c r="R941" s="6"/>
      <c r="S941" s="6"/>
      <c r="T941" s="6"/>
      <c r="U941" s="6"/>
      <c r="V941" s="6"/>
      <c r="W941" s="6"/>
      <c r="X941" s="6"/>
      <c r="Y941" s="6"/>
      <c r="Z941" s="6"/>
      <c r="AA941" s="19"/>
      <c r="AB941" s="19"/>
      <c r="AC941" s="15"/>
      <c r="AD941" s="15"/>
      <c r="AF941" s="157">
        <f t="shared" si="612"/>
        <v>0</v>
      </c>
    </row>
    <row r="942" spans="1:32" s="4" customFormat="1" x14ac:dyDescent="0.25">
      <c r="A942" s="10" t="s">
        <v>223</v>
      </c>
      <c r="B942" s="17" t="s">
        <v>224</v>
      </c>
      <c r="C942" s="12"/>
      <c r="D942" s="13"/>
      <c r="E942" s="18"/>
      <c r="F942" s="18"/>
      <c r="G942" s="18"/>
      <c r="H942" s="22"/>
      <c r="I942" s="15"/>
      <c r="J942" s="15"/>
      <c r="K942" s="15"/>
      <c r="L942" s="15"/>
      <c r="M942" s="22"/>
      <c r="N942" s="22"/>
      <c r="O942" s="22"/>
      <c r="P942" s="19"/>
      <c r="Q942" s="19"/>
      <c r="R942" s="6"/>
      <c r="S942" s="6"/>
      <c r="T942" s="6"/>
      <c r="U942" s="6"/>
      <c r="V942" s="6"/>
      <c r="W942" s="6"/>
      <c r="X942" s="6"/>
      <c r="Y942" s="6"/>
      <c r="Z942" s="6"/>
      <c r="AA942" s="19"/>
      <c r="AB942" s="19"/>
      <c r="AC942" s="15"/>
      <c r="AD942" s="15"/>
      <c r="AF942" s="157">
        <f t="shared" si="612"/>
        <v>0</v>
      </c>
    </row>
    <row r="943" spans="1:32" s="91" customFormat="1" x14ac:dyDescent="0.25">
      <c r="A943" s="87" t="s">
        <v>225</v>
      </c>
      <c r="B943" s="88" t="s">
        <v>226</v>
      </c>
      <c r="C943" s="169" t="s">
        <v>83</v>
      </c>
      <c r="D943" s="93">
        <v>1</v>
      </c>
      <c r="E943" s="94"/>
      <c r="F943" s="94"/>
      <c r="G943" s="94"/>
      <c r="H943" s="99">
        <v>52817610</v>
      </c>
      <c r="I943" s="20"/>
      <c r="J943" s="20">
        <f>52817.61*1000</f>
        <v>52817610</v>
      </c>
      <c r="K943" s="20" t="s">
        <v>32</v>
      </c>
      <c r="L943" s="20"/>
      <c r="M943" s="95">
        <v>298551510</v>
      </c>
      <c r="N943" s="50">
        <f>O943-M943</f>
        <v>31</v>
      </c>
      <c r="O943" s="95">
        <f>J943*4.75*1.19</f>
        <v>298551541</v>
      </c>
      <c r="P943" s="98"/>
      <c r="Q943" s="98">
        <f>SUM(O943:P943)</f>
        <v>298551541</v>
      </c>
      <c r="R943" s="30"/>
      <c r="S943" s="30"/>
      <c r="T943" s="30"/>
      <c r="U943" s="30"/>
      <c r="V943" s="30"/>
      <c r="W943" s="30"/>
      <c r="X943" s="30"/>
      <c r="Y943" s="30"/>
      <c r="Z943" s="30"/>
      <c r="AA943" s="50">
        <f>SUM(Q943:Z943)</f>
        <v>298551541</v>
      </c>
      <c r="AB943" s="50">
        <f>$AA943*AB$7</f>
        <v>321725112</v>
      </c>
      <c r="AC943" s="20">
        <f>AB943/D943</f>
        <v>321725112</v>
      </c>
      <c r="AD943" s="20">
        <f>AC943*D943</f>
        <v>321725112</v>
      </c>
      <c r="AF943" s="157">
        <f t="shared" si="612"/>
        <v>0</v>
      </c>
    </row>
    <row r="944" spans="1:32" s="177" customFormat="1" ht="13.5" hidden="1" outlineLevel="1" x14ac:dyDescent="0.25">
      <c r="A944" s="236"/>
      <c r="B944" s="237"/>
      <c r="C944" s="238"/>
      <c r="D944" s="239"/>
      <c r="E944" s="240"/>
      <c r="F944" s="240"/>
      <c r="G944" s="240"/>
      <c r="H944" s="241"/>
      <c r="I944" s="242"/>
      <c r="J944" s="243"/>
      <c r="K944" s="242"/>
      <c r="L944" s="242"/>
      <c r="M944" s="244">
        <f t="shared" ref="M944:AB944" si="614">SUM(M10:M943)</f>
        <v>11246133177</v>
      </c>
      <c r="N944" s="244">
        <f t="shared" si="614"/>
        <v>395</v>
      </c>
      <c r="O944" s="244">
        <f t="shared" si="614"/>
        <v>11246133584</v>
      </c>
      <c r="P944" s="244">
        <f t="shared" si="614"/>
        <v>496687316</v>
      </c>
      <c r="Q944" s="244">
        <f t="shared" si="614"/>
        <v>11742820900</v>
      </c>
      <c r="R944" s="244">
        <f t="shared" si="614"/>
        <v>70485996</v>
      </c>
      <c r="S944" s="244">
        <f t="shared" si="614"/>
        <v>221987</v>
      </c>
      <c r="T944" s="244">
        <f t="shared" si="614"/>
        <v>206725</v>
      </c>
      <c r="U944" s="244">
        <f t="shared" si="614"/>
        <v>171965480</v>
      </c>
      <c r="V944" s="244">
        <f t="shared" si="614"/>
        <v>11920488</v>
      </c>
      <c r="W944" s="244">
        <f t="shared" si="614"/>
        <v>110916706</v>
      </c>
      <c r="X944" s="244">
        <f t="shared" si="614"/>
        <v>12221</v>
      </c>
      <c r="Y944" s="244">
        <f t="shared" si="614"/>
        <v>14993986</v>
      </c>
      <c r="Z944" s="244">
        <f t="shared" si="614"/>
        <v>83430715</v>
      </c>
      <c r="AA944" s="244">
        <f t="shared" si="614"/>
        <v>12206975204</v>
      </c>
      <c r="AB944" s="244">
        <f t="shared" si="614"/>
        <v>13154480629</v>
      </c>
      <c r="AC944" s="242"/>
      <c r="AD944" s="244">
        <f>SUM(AD10:AD943)</f>
        <v>13154473883</v>
      </c>
      <c r="AE944" s="176"/>
    </row>
    <row r="945" spans="1:32" s="179" customFormat="1" ht="12" hidden="1" outlineLevel="1" x14ac:dyDescent="0.25">
      <c r="A945" s="245"/>
      <c r="B945" s="246"/>
      <c r="C945" s="247"/>
      <c r="D945" s="248"/>
      <c r="E945" s="249"/>
      <c r="F945" s="249"/>
      <c r="G945" s="249"/>
      <c r="H945" s="250"/>
      <c r="I945" s="243"/>
      <c r="J945" s="243"/>
      <c r="K945" s="243"/>
      <c r="L945" s="243"/>
      <c r="M945" s="250">
        <f>O945-M944</f>
        <v>0</v>
      </c>
      <c r="N945" s="250">
        <f>O944-M944</f>
        <v>407</v>
      </c>
      <c r="O945" s="250">
        <f>(10888214.98-83430.71+12733.33+63.05+8631.62+14995.46+298551.51)*1000+106373937</f>
        <v>11246133177</v>
      </c>
      <c r="P945" s="244">
        <f>496687.3*1000</f>
        <v>496687300</v>
      </c>
      <c r="Q945" s="244">
        <f>(11591291.53-83430.71-124793.26-3888.27-18018.69-59689.03+12733.33+63.05+8631.62+14995.46+298551.51)*1000+106373937</f>
        <v>11742820477</v>
      </c>
      <c r="R945" s="251">
        <f>70485.97*1000</f>
        <v>70485970</v>
      </c>
      <c r="S945" s="251">
        <f>(106595.92)*1000-106373937</f>
        <v>221983</v>
      </c>
      <c r="T945" s="251">
        <f>(206.67)*1000</f>
        <v>206670</v>
      </c>
      <c r="U945" s="251">
        <f>171965.54*1000</f>
        <v>171965540</v>
      </c>
      <c r="V945" s="251">
        <f>11920.5*1000</f>
        <v>11920500</v>
      </c>
      <c r="W945" s="252">
        <f>110916.69*1000</f>
        <v>110916690</v>
      </c>
      <c r="X945" s="251">
        <f>12.22*1000</f>
        <v>12220</v>
      </c>
      <c r="Y945" s="251">
        <f>14994*1000</f>
        <v>14994000</v>
      </c>
      <c r="Z945" s="251">
        <f>83430.71*1000</f>
        <v>83430710</v>
      </c>
      <c r="AA945" s="244">
        <f>Y945+X945+W945+R945+V945+U945+S945+Z945+Q945+T945</f>
        <v>12206974760</v>
      </c>
      <c r="AB945" s="244">
        <f>$AA945*AB$7</f>
        <v>13154480141</v>
      </c>
      <c r="AC945" s="243"/>
      <c r="AD945" s="243"/>
      <c r="AE945" s="178"/>
    </row>
    <row r="946" spans="1:32" s="179" customFormat="1" ht="12" hidden="1" outlineLevel="1" x14ac:dyDescent="0.25">
      <c r="A946" s="245"/>
      <c r="B946" s="246"/>
      <c r="C946" s="247"/>
      <c r="D946" s="248"/>
      <c r="E946" s="249"/>
      <c r="F946" s="249"/>
      <c r="G946" s="249"/>
      <c r="H946" s="250"/>
      <c r="I946" s="243"/>
      <c r="J946" s="243"/>
      <c r="K946" s="243"/>
      <c r="L946" s="243"/>
      <c r="M946" s="244"/>
      <c r="N946" s="244"/>
      <c r="O946" s="244">
        <f>O945-O944</f>
        <v>-407</v>
      </c>
      <c r="P946" s="244">
        <f t="shared" ref="P946:V946" si="615">P945-P944</f>
        <v>-16</v>
      </c>
      <c r="Q946" s="244">
        <f>Q945-Q944</f>
        <v>-423</v>
      </c>
      <c r="R946" s="251">
        <f t="shared" si="615"/>
        <v>-26</v>
      </c>
      <c r="S946" s="251">
        <f t="shared" si="615"/>
        <v>-4</v>
      </c>
      <c r="T946" s="251">
        <f t="shared" ref="T946" si="616">T945-T944</f>
        <v>-55</v>
      </c>
      <c r="U946" s="251">
        <f t="shared" si="615"/>
        <v>60</v>
      </c>
      <c r="V946" s="251">
        <f t="shared" si="615"/>
        <v>12</v>
      </c>
      <c r="W946" s="252">
        <f>W945-W944</f>
        <v>-16</v>
      </c>
      <c r="X946" s="251">
        <f t="shared" ref="X946:Z946" si="617">X945-X944</f>
        <v>-1</v>
      </c>
      <c r="Y946" s="251">
        <f t="shared" si="617"/>
        <v>14</v>
      </c>
      <c r="Z946" s="251">
        <f t="shared" si="617"/>
        <v>-5</v>
      </c>
      <c r="AA946" s="251">
        <f>AA945-AA944</f>
        <v>-444</v>
      </c>
      <c r="AB946" s="251">
        <f>AB945-AB944</f>
        <v>-488</v>
      </c>
      <c r="AC946" s="243"/>
      <c r="AD946" s="243"/>
      <c r="AE946" s="178"/>
    </row>
    <row r="947" spans="1:32" s="54" customFormat="1" collapsed="1" x14ac:dyDescent="0.25">
      <c r="A947" s="23"/>
      <c r="B947" s="11" t="s">
        <v>227</v>
      </c>
      <c r="C947" s="12" t="s">
        <v>228</v>
      </c>
      <c r="D947" s="15"/>
      <c r="E947" s="53"/>
      <c r="F947" s="53"/>
      <c r="G947" s="53"/>
      <c r="H947" s="15"/>
      <c r="I947" s="15"/>
      <c r="J947" s="15"/>
      <c r="K947" s="15"/>
      <c r="L947" s="15"/>
      <c r="M947" s="15"/>
      <c r="N947" s="15"/>
      <c r="O947" s="15"/>
      <c r="P947" s="19"/>
      <c r="Q947" s="15"/>
      <c r="R947" s="19"/>
      <c r="S947" s="19"/>
      <c r="T947" s="19"/>
      <c r="U947" s="19"/>
      <c r="V947" s="19"/>
      <c r="W947" s="19"/>
      <c r="X947" s="19"/>
      <c r="Y947" s="19"/>
      <c r="Z947" s="19"/>
      <c r="AA947" s="33">
        <f>SUM(AA10:AA943)</f>
        <v>12206975204</v>
      </c>
      <c r="AB947" s="33">
        <f>SUM(AB10:AB943)</f>
        <v>13154480629</v>
      </c>
      <c r="AC947" s="33"/>
      <c r="AD947" s="33">
        <f>SUM(AD10:AD943)</f>
        <v>13154473883</v>
      </c>
      <c r="AE947" s="25"/>
      <c r="AF947" s="33">
        <f>SUM(AF10:AF943)</f>
        <v>-6746</v>
      </c>
    </row>
    <row r="948" spans="1:32" x14ac:dyDescent="0.2">
      <c r="A948" s="253"/>
      <c r="B948" s="11" t="s">
        <v>229</v>
      </c>
      <c r="C948" s="12" t="s">
        <v>228</v>
      </c>
      <c r="D948" s="235"/>
      <c r="E948" s="254"/>
      <c r="F948" s="254"/>
      <c r="G948" s="254"/>
      <c r="H948" s="235"/>
      <c r="I948" s="235"/>
      <c r="J948" s="235"/>
      <c r="K948" s="235"/>
      <c r="L948" s="235"/>
      <c r="M948" s="235"/>
      <c r="N948" s="235"/>
      <c r="O948" s="235"/>
      <c r="P948" s="255"/>
      <c r="Q948" s="235"/>
      <c r="R948" s="256"/>
      <c r="S948" s="255"/>
      <c r="T948" s="255"/>
      <c r="U948" s="256"/>
      <c r="V948" s="256"/>
      <c r="W948" s="256"/>
      <c r="X948" s="256"/>
      <c r="Y948" s="256"/>
      <c r="Z948" s="235"/>
      <c r="AA948" s="33">
        <f>AA949+AA950</f>
        <v>192449817</v>
      </c>
      <c r="AB948" s="33">
        <f>AB949+AB950</f>
        <v>207387772</v>
      </c>
      <c r="AC948" s="33"/>
      <c r="AD948" s="32">
        <f>AD949+AD950</f>
        <v>207394016.02000001</v>
      </c>
      <c r="AE948" s="77"/>
      <c r="AF948" s="157">
        <f t="shared" ref="AF948:AF953" si="618">AD948-AB948</f>
        <v>6244.02</v>
      </c>
    </row>
    <row r="949" spans="1:32" x14ac:dyDescent="0.2">
      <c r="A949" s="253"/>
      <c r="B949" s="55" t="s">
        <v>230</v>
      </c>
      <c r="C949" s="12" t="s">
        <v>228</v>
      </c>
      <c r="D949" s="235"/>
      <c r="E949" s="254"/>
      <c r="F949" s="254"/>
      <c r="G949" s="254"/>
      <c r="H949" s="235"/>
      <c r="I949" s="235"/>
      <c r="J949" s="235"/>
      <c r="K949" s="235"/>
      <c r="L949" s="235"/>
      <c r="M949" s="235"/>
      <c r="N949" s="235"/>
      <c r="O949" s="235"/>
      <c r="P949" s="255"/>
      <c r="Q949" s="235"/>
      <c r="R949" s="256"/>
      <c r="S949" s="255"/>
      <c r="T949" s="255"/>
      <c r="U949" s="256"/>
      <c r="V949" s="256"/>
      <c r="W949" s="256"/>
      <c r="X949" s="256"/>
      <c r="Y949" s="256"/>
      <c r="Z949" s="235"/>
      <c r="AA949" s="19">
        <f>(230103310-AA950)/1.2</f>
        <v>188267464</v>
      </c>
      <c r="AB949" s="19">
        <f>AA949*AB7</f>
        <v>202880785</v>
      </c>
      <c r="AC949" s="19"/>
      <c r="AD949" s="15">
        <f>AB949+6244.02</f>
        <v>202887029.02000001</v>
      </c>
      <c r="AE949" s="77"/>
      <c r="AF949" s="157">
        <f t="shared" si="618"/>
        <v>6244.02</v>
      </c>
    </row>
    <row r="950" spans="1:32" x14ac:dyDescent="0.2">
      <c r="A950" s="253"/>
      <c r="B950" s="55" t="s">
        <v>231</v>
      </c>
      <c r="C950" s="12" t="s">
        <v>228</v>
      </c>
      <c r="D950" s="235"/>
      <c r="E950" s="254"/>
      <c r="F950" s="254"/>
      <c r="G950" s="254"/>
      <c r="H950" s="235"/>
      <c r="I950" s="235"/>
      <c r="J950" s="235"/>
      <c r="K950" s="235"/>
      <c r="L950" s="235"/>
      <c r="M950" s="235"/>
      <c r="N950" s="235"/>
      <c r="O950" s="235"/>
      <c r="P950" s="255"/>
      <c r="Q950" s="235"/>
      <c r="R950" s="256"/>
      <c r="S950" s="255"/>
      <c r="T950" s="255"/>
      <c r="U950" s="256"/>
      <c r="V950" s="256"/>
      <c r="W950" s="256"/>
      <c r="X950" s="256"/>
      <c r="Y950" s="256"/>
      <c r="Z950" s="235"/>
      <c r="AA950" s="19">
        <f>SUM(AA83:AA114)*0.015</f>
        <v>4182353</v>
      </c>
      <c r="AB950" s="19">
        <f>AA950*AB7</f>
        <v>4506987</v>
      </c>
      <c r="AC950" s="19"/>
      <c r="AD950" s="15">
        <f>AB950</f>
        <v>4506987</v>
      </c>
      <c r="AE950" s="77"/>
      <c r="AF950" s="157">
        <f t="shared" si="618"/>
        <v>0</v>
      </c>
    </row>
    <row r="951" spans="1:32" x14ac:dyDescent="0.2">
      <c r="A951" s="253"/>
      <c r="B951" s="11" t="s">
        <v>232</v>
      </c>
      <c r="C951" s="12" t="s">
        <v>228</v>
      </c>
      <c r="D951" s="235"/>
      <c r="E951" s="254"/>
      <c r="F951" s="254"/>
      <c r="G951" s="254"/>
      <c r="H951" s="235"/>
      <c r="I951" s="235"/>
      <c r="J951" s="235"/>
      <c r="K951" s="235"/>
      <c r="L951" s="235"/>
      <c r="M951" s="235"/>
      <c r="N951" s="235"/>
      <c r="O951" s="235"/>
      <c r="P951" s="235"/>
      <c r="Q951" s="235"/>
      <c r="R951" s="235"/>
      <c r="S951" s="235"/>
      <c r="T951" s="235"/>
      <c r="U951" s="235"/>
      <c r="V951" s="235"/>
      <c r="W951" s="235"/>
      <c r="X951" s="235"/>
      <c r="Y951" s="235"/>
      <c r="Z951" s="235"/>
      <c r="AA951" s="33">
        <f>AA947+AA948</f>
        <v>12399425021</v>
      </c>
      <c r="AB951" s="33">
        <f>AB947+AB948</f>
        <v>13361868401</v>
      </c>
      <c r="AC951" s="33"/>
      <c r="AD951" s="32">
        <f>AD947+AD948</f>
        <v>13361867899.02</v>
      </c>
      <c r="AE951" s="77"/>
      <c r="AF951" s="157">
        <f t="shared" si="618"/>
        <v>-501.98</v>
      </c>
    </row>
    <row r="952" spans="1:32" x14ac:dyDescent="0.2">
      <c r="A952" s="253"/>
      <c r="B952" s="11" t="s">
        <v>233</v>
      </c>
      <c r="C952" s="16" t="s">
        <v>228</v>
      </c>
      <c r="D952" s="235"/>
      <c r="E952" s="254"/>
      <c r="F952" s="254"/>
      <c r="G952" s="254"/>
      <c r="H952" s="235"/>
      <c r="I952" s="235"/>
      <c r="J952" s="235"/>
      <c r="K952" s="235"/>
      <c r="L952" s="235"/>
      <c r="M952" s="235"/>
      <c r="N952" s="235"/>
      <c r="O952" s="235"/>
      <c r="P952" s="32"/>
      <c r="Q952" s="235"/>
      <c r="R952" s="32"/>
      <c r="S952" s="32"/>
      <c r="T952" s="32"/>
      <c r="U952" s="32"/>
      <c r="V952" s="32"/>
      <c r="W952" s="32"/>
      <c r="X952" s="32"/>
      <c r="Y952" s="32"/>
      <c r="Z952" s="235"/>
      <c r="AA952" s="33">
        <f>(AA951-SUM(AA81:AA114)-AA950)*0.2</f>
        <v>2423283830</v>
      </c>
      <c r="AB952" s="33">
        <f>(AB951-SUM(AB81:AB114)-AB950)*0.2</f>
        <v>2611379122</v>
      </c>
      <c r="AC952" s="33"/>
      <c r="AD952" s="33">
        <f>(AD951-SUM(AD81:AD114)-AD950)*0.2</f>
        <v>2611379030</v>
      </c>
      <c r="AE952" s="77"/>
      <c r="AF952" s="157">
        <f>AD952-AB952</f>
        <v>-92</v>
      </c>
    </row>
    <row r="953" spans="1:32" x14ac:dyDescent="0.2">
      <c r="A953" s="253"/>
      <c r="B953" s="57" t="s">
        <v>234</v>
      </c>
      <c r="C953" s="16" t="s">
        <v>228</v>
      </c>
      <c r="D953" s="235"/>
      <c r="E953" s="254"/>
      <c r="F953" s="254"/>
      <c r="G953" s="254"/>
      <c r="H953" s="235"/>
      <c r="I953" s="235"/>
      <c r="J953" s="235"/>
      <c r="K953" s="235"/>
      <c r="L953" s="235"/>
      <c r="M953" s="235"/>
      <c r="N953" s="235"/>
      <c r="O953" s="235"/>
      <c r="P953" s="235"/>
      <c r="Q953" s="235"/>
      <c r="R953" s="235"/>
      <c r="S953" s="235"/>
      <c r="T953" s="235"/>
      <c r="U953" s="235"/>
      <c r="V953" s="235"/>
      <c r="W953" s="235"/>
      <c r="X953" s="235"/>
      <c r="Y953" s="235"/>
      <c r="Z953" s="235"/>
      <c r="AA953" s="33">
        <f>AA951+AA952</f>
        <v>14822708851</v>
      </c>
      <c r="AB953" s="33">
        <f>AB951+AB952</f>
        <v>15973247523</v>
      </c>
      <c r="AC953" s="33"/>
      <c r="AD953" s="32">
        <f>AD951+AD952</f>
        <v>15973246929.02</v>
      </c>
      <c r="AE953" s="77"/>
      <c r="AF953" s="157">
        <f t="shared" si="618"/>
        <v>-593.98</v>
      </c>
    </row>
    <row r="954" spans="1:32" x14ac:dyDescent="0.2">
      <c r="AA954" s="59"/>
      <c r="AB954" s="59"/>
      <c r="AE954" s="77"/>
    </row>
    <row r="955" spans="1:32" x14ac:dyDescent="0.2">
      <c r="B955" s="78"/>
      <c r="AA955" s="140"/>
      <c r="AB955" s="141"/>
      <c r="AC955" s="118"/>
      <c r="AD955" s="140"/>
      <c r="AE955" s="77"/>
    </row>
    <row r="956" spans="1:32" x14ac:dyDescent="0.2">
      <c r="B956" s="78"/>
      <c r="AA956" s="140"/>
      <c r="AB956" s="141"/>
      <c r="AC956" s="118"/>
      <c r="AD956" s="140"/>
      <c r="AE956" s="77"/>
    </row>
    <row r="957" spans="1:32" x14ac:dyDescent="0.2">
      <c r="B957" s="78"/>
      <c r="AA957" s="59"/>
      <c r="AB957" s="59"/>
      <c r="AD957" s="140"/>
      <c r="AE957" s="80"/>
    </row>
    <row r="958" spans="1:32" x14ac:dyDescent="0.2">
      <c r="AA958" s="59"/>
      <c r="AB958" s="59"/>
      <c r="AC958" s="79"/>
      <c r="AE958" s="77"/>
    </row>
    <row r="959" spans="1:32" x14ac:dyDescent="0.2">
      <c r="B959" s="58"/>
      <c r="AA959" s="59"/>
      <c r="AB959" s="59"/>
      <c r="AD959" s="2"/>
      <c r="AE959" s="77"/>
    </row>
    <row r="960" spans="1:32" x14ac:dyDescent="0.2">
      <c r="B960" s="81"/>
      <c r="AA960" s="59"/>
      <c r="AB960" s="59"/>
      <c r="AD960" s="2"/>
      <c r="AE960" s="77"/>
    </row>
    <row r="961" spans="2:31" x14ac:dyDescent="0.2">
      <c r="B961" s="58"/>
      <c r="AA961" s="59"/>
      <c r="AB961" s="59"/>
      <c r="AD961" s="2"/>
      <c r="AE961" s="77"/>
    </row>
    <row r="962" spans="2:31" x14ac:dyDescent="0.2">
      <c r="AA962" s="59"/>
      <c r="AB962" s="59"/>
      <c r="AE962" s="77"/>
    </row>
    <row r="963" spans="2:31" x14ac:dyDescent="0.2">
      <c r="AA963" s="59"/>
      <c r="AB963" s="59"/>
      <c r="AD963" s="2"/>
      <c r="AE963" s="77"/>
    </row>
    <row r="964" spans="2:31" x14ac:dyDescent="0.2">
      <c r="Z964" s="59"/>
      <c r="AA964" s="82"/>
      <c r="AB964" s="82"/>
      <c r="AE964" s="77"/>
    </row>
    <row r="965" spans="2:31" x14ac:dyDescent="0.2">
      <c r="AA965" s="59"/>
      <c r="AB965" s="59"/>
      <c r="AE965" s="77"/>
    </row>
    <row r="966" spans="2:31" x14ac:dyDescent="0.2">
      <c r="AA966" s="59"/>
      <c r="AB966" s="59"/>
      <c r="AE966" s="77"/>
    </row>
    <row r="967" spans="2:31" x14ac:dyDescent="0.2">
      <c r="AA967" s="59"/>
      <c r="AB967" s="59"/>
      <c r="AE967" s="77"/>
    </row>
    <row r="968" spans="2:31" x14ac:dyDescent="0.2">
      <c r="AA968" s="59"/>
      <c r="AB968" s="59"/>
      <c r="AE968" s="77"/>
    </row>
    <row r="969" spans="2:31" x14ac:dyDescent="0.2">
      <c r="AA969" s="59"/>
      <c r="AB969" s="59"/>
      <c r="AE969" s="77"/>
    </row>
    <row r="970" spans="2:31" x14ac:dyDescent="0.2">
      <c r="AA970" s="59"/>
      <c r="AB970" s="59"/>
      <c r="AE970" s="77"/>
    </row>
    <row r="971" spans="2:31" x14ac:dyDescent="0.2">
      <c r="AA971" s="59"/>
      <c r="AB971" s="59"/>
      <c r="AE971" s="77"/>
    </row>
    <row r="972" spans="2:31" x14ac:dyDescent="0.2">
      <c r="S972" s="155"/>
      <c r="T972" s="163"/>
      <c r="AA972" s="59"/>
      <c r="AB972" s="59"/>
      <c r="AE972" s="77"/>
    </row>
    <row r="973" spans="2:31" x14ac:dyDescent="0.2">
      <c r="AE973" s="77"/>
    </row>
    <row r="974" spans="2:31" x14ac:dyDescent="0.2">
      <c r="AE974" s="77"/>
    </row>
    <row r="975" spans="2:31" x14ac:dyDescent="0.2">
      <c r="AE975" s="77"/>
    </row>
    <row r="976" spans="2:31" x14ac:dyDescent="0.2">
      <c r="AE976" s="77"/>
    </row>
    <row r="977" spans="31:31" x14ac:dyDescent="0.2">
      <c r="AE977" s="77"/>
    </row>
    <row r="978" spans="31:31" x14ac:dyDescent="0.2">
      <c r="AE978" s="77"/>
    </row>
    <row r="979" spans="31:31" x14ac:dyDescent="0.2">
      <c r="AE979" s="77"/>
    </row>
    <row r="980" spans="31:31" x14ac:dyDescent="0.2">
      <c r="AE980" s="77"/>
    </row>
    <row r="981" spans="31:31" x14ac:dyDescent="0.2">
      <c r="AE981" s="77"/>
    </row>
    <row r="982" spans="31:31" x14ac:dyDescent="0.2">
      <c r="AE982" s="77"/>
    </row>
    <row r="983" spans="31:31" x14ac:dyDescent="0.2">
      <c r="AE983" s="77"/>
    </row>
    <row r="998" spans="2:34" s="60" customFormat="1" x14ac:dyDescent="0.2">
      <c r="B998" s="1"/>
      <c r="C998" s="1"/>
      <c r="D998" s="1"/>
      <c r="E998" s="2"/>
      <c r="F998" s="158"/>
      <c r="G998" s="158"/>
      <c r="H998" s="1"/>
      <c r="I998" s="1"/>
      <c r="J998" s="1"/>
      <c r="K998" s="1"/>
      <c r="L998" s="1"/>
      <c r="M998" s="1"/>
      <c r="N998" s="1"/>
      <c r="O998" s="1"/>
      <c r="P998" s="1"/>
      <c r="Q998" s="118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2:34" s="60" customFormat="1" x14ac:dyDescent="0.2">
      <c r="B999" s="1"/>
      <c r="C999" s="1"/>
      <c r="D999" s="1"/>
      <c r="E999" s="2"/>
      <c r="F999" s="158"/>
      <c r="G999" s="158"/>
      <c r="H999" s="1"/>
      <c r="I999" s="1"/>
      <c r="J999" s="1"/>
      <c r="K999" s="1"/>
      <c r="L999" s="1"/>
      <c r="M999" s="1"/>
      <c r="N999" s="1"/>
      <c r="O999" s="1"/>
      <c r="P999" s="1"/>
      <c r="Q999" s="118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2:34" s="60" customFormat="1" x14ac:dyDescent="0.2">
      <c r="B1000" s="1"/>
      <c r="C1000" s="1"/>
      <c r="D1000" s="1"/>
      <c r="E1000" s="2"/>
      <c r="F1000" s="158"/>
      <c r="G1000" s="158"/>
      <c r="H1000" s="1"/>
      <c r="I1000" s="1"/>
      <c r="J1000" s="1"/>
      <c r="K1000" s="1"/>
      <c r="L1000" s="1"/>
      <c r="M1000" s="1"/>
      <c r="N1000" s="1"/>
      <c r="O1000" s="1"/>
      <c r="P1000" s="1"/>
      <c r="Q1000" s="118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2:34" s="60" customFormat="1" x14ac:dyDescent="0.2">
      <c r="B1001" s="1"/>
      <c r="C1001" s="1"/>
      <c r="D1001" s="1"/>
      <c r="E1001" s="2"/>
      <c r="F1001" s="158"/>
      <c r="G1001" s="158"/>
      <c r="H1001" s="1"/>
      <c r="I1001" s="1"/>
      <c r="J1001" s="1"/>
      <c r="K1001" s="1"/>
      <c r="L1001" s="1"/>
      <c r="M1001" s="1"/>
      <c r="N1001" s="1"/>
      <c r="O1001" s="1"/>
      <c r="P1001" s="1"/>
      <c r="Q1001" s="118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2:34" s="60" customFormat="1" x14ac:dyDescent="0.2">
      <c r="B1002" s="1"/>
      <c r="C1002" s="1"/>
      <c r="D1002" s="1"/>
      <c r="E1002" s="2"/>
      <c r="F1002" s="158"/>
      <c r="G1002" s="158"/>
      <c r="H1002" s="1"/>
      <c r="I1002" s="1"/>
      <c r="J1002" s="1"/>
      <c r="K1002" s="1"/>
      <c r="L1002" s="1"/>
      <c r="M1002" s="1"/>
      <c r="N1002" s="1"/>
      <c r="O1002" s="1"/>
      <c r="P1002" s="1"/>
      <c r="Q1002" s="118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2:34" s="60" customFormat="1" x14ac:dyDescent="0.2">
      <c r="B1003" s="1"/>
      <c r="C1003" s="1"/>
      <c r="D1003" s="1"/>
      <c r="E1003" s="2"/>
      <c r="F1003" s="158"/>
      <c r="G1003" s="158"/>
      <c r="H1003" s="1"/>
      <c r="I1003" s="1"/>
      <c r="J1003" s="1"/>
      <c r="K1003" s="1"/>
      <c r="L1003" s="1"/>
      <c r="M1003" s="1"/>
      <c r="N1003" s="1"/>
      <c r="O1003" s="1"/>
      <c r="P1003" s="1"/>
      <c r="Q1003" s="118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2:34" s="60" customFormat="1" x14ac:dyDescent="0.2">
      <c r="B1004" s="1"/>
      <c r="C1004" s="1"/>
      <c r="D1004" s="1"/>
      <c r="E1004" s="2"/>
      <c r="F1004" s="158"/>
      <c r="G1004" s="158"/>
      <c r="H1004" s="1"/>
      <c r="I1004" s="1"/>
      <c r="J1004" s="1"/>
      <c r="K1004" s="1"/>
      <c r="L1004" s="1"/>
      <c r="M1004" s="1"/>
      <c r="N1004" s="1"/>
      <c r="O1004" s="1"/>
      <c r="P1004" s="1"/>
      <c r="Q1004" s="118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2:34" s="60" customFormat="1" x14ac:dyDescent="0.2">
      <c r="B1005" s="1"/>
      <c r="C1005" s="1"/>
      <c r="D1005" s="1"/>
      <c r="E1005" s="2"/>
      <c r="F1005" s="158"/>
      <c r="G1005" s="158"/>
      <c r="H1005" s="1"/>
      <c r="I1005" s="1"/>
      <c r="J1005" s="1"/>
      <c r="K1005" s="1"/>
      <c r="L1005" s="1"/>
      <c r="M1005" s="1"/>
      <c r="N1005" s="1"/>
      <c r="O1005" s="1"/>
      <c r="P1005" s="1"/>
      <c r="Q1005" s="118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2:34" s="60" customFormat="1" x14ac:dyDescent="0.2">
      <c r="B1006" s="1"/>
      <c r="C1006" s="1"/>
      <c r="D1006" s="1"/>
      <c r="E1006" s="2"/>
      <c r="F1006" s="158"/>
      <c r="G1006" s="158"/>
      <c r="H1006" s="1"/>
      <c r="I1006" s="1"/>
      <c r="J1006" s="1"/>
      <c r="K1006" s="1"/>
      <c r="L1006" s="1"/>
      <c r="M1006" s="1"/>
      <c r="N1006" s="1"/>
      <c r="O1006" s="1"/>
      <c r="P1006" s="1"/>
      <c r="Q1006" s="118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2:34" s="60" customFormat="1" x14ac:dyDescent="0.2">
      <c r="B1007" s="1"/>
      <c r="C1007" s="1"/>
      <c r="D1007" s="1"/>
      <c r="E1007" s="2"/>
      <c r="F1007" s="158"/>
      <c r="G1007" s="158"/>
      <c r="H1007" s="1"/>
      <c r="I1007" s="1"/>
      <c r="J1007" s="1"/>
      <c r="K1007" s="1"/>
      <c r="L1007" s="1"/>
      <c r="M1007" s="1"/>
      <c r="N1007" s="1"/>
      <c r="O1007" s="1"/>
      <c r="P1007" s="1"/>
      <c r="Q1007" s="118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2:34" s="60" customFormat="1" x14ac:dyDescent="0.2">
      <c r="B1008" s="1"/>
      <c r="C1008" s="1"/>
      <c r="D1008" s="1"/>
      <c r="E1008" s="2"/>
      <c r="F1008" s="158"/>
      <c r="G1008" s="158"/>
      <c r="H1008" s="1"/>
      <c r="I1008" s="1"/>
      <c r="J1008" s="1"/>
      <c r="K1008" s="1"/>
      <c r="L1008" s="1"/>
      <c r="M1008" s="1"/>
      <c r="N1008" s="1"/>
      <c r="O1008" s="1"/>
      <c r="P1008" s="1"/>
      <c r="Q1008" s="118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2:34" s="60" customFormat="1" x14ac:dyDescent="0.2">
      <c r="B1009" s="1"/>
      <c r="C1009" s="1"/>
      <c r="D1009" s="1"/>
      <c r="E1009" s="2"/>
      <c r="F1009" s="158"/>
      <c r="G1009" s="158"/>
      <c r="H1009" s="1"/>
      <c r="I1009" s="1"/>
      <c r="J1009" s="1"/>
      <c r="K1009" s="1"/>
      <c r="L1009" s="1"/>
      <c r="M1009" s="1"/>
      <c r="N1009" s="1"/>
      <c r="O1009" s="1"/>
      <c r="P1009" s="1"/>
      <c r="Q1009" s="118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2:34" s="60" customFormat="1" x14ac:dyDescent="0.2">
      <c r="B1010" s="1"/>
      <c r="C1010" s="1"/>
      <c r="D1010" s="1"/>
      <c r="E1010" s="2"/>
      <c r="F1010" s="158"/>
      <c r="G1010" s="158"/>
      <c r="H1010" s="1"/>
      <c r="I1010" s="1"/>
      <c r="J1010" s="1"/>
      <c r="K1010" s="1"/>
      <c r="L1010" s="1"/>
      <c r="M1010" s="1"/>
      <c r="N1010" s="1"/>
      <c r="O1010" s="1"/>
      <c r="P1010" s="1"/>
      <c r="Q1010" s="118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2:34" s="60" customFormat="1" x14ac:dyDescent="0.2">
      <c r="B1011" s="1"/>
      <c r="C1011" s="1"/>
      <c r="D1011" s="1"/>
      <c r="E1011" s="2"/>
      <c r="F1011" s="158"/>
      <c r="G1011" s="158"/>
      <c r="H1011" s="1"/>
      <c r="I1011" s="1"/>
      <c r="J1011" s="1"/>
      <c r="K1011" s="1"/>
      <c r="L1011" s="1"/>
      <c r="M1011" s="1"/>
      <c r="N1011" s="1"/>
      <c r="O1011" s="1"/>
      <c r="P1011" s="1"/>
      <c r="Q1011" s="118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2:34" s="60" customFormat="1" x14ac:dyDescent="0.2">
      <c r="B1012" s="1"/>
      <c r="C1012" s="1"/>
      <c r="D1012" s="1"/>
      <c r="E1012" s="2"/>
      <c r="F1012" s="158"/>
      <c r="G1012" s="158"/>
      <c r="H1012" s="1"/>
      <c r="I1012" s="1"/>
      <c r="J1012" s="1"/>
      <c r="K1012" s="1"/>
      <c r="L1012" s="1"/>
      <c r="M1012" s="1"/>
      <c r="N1012" s="1"/>
      <c r="O1012" s="1"/>
      <c r="P1012" s="1"/>
      <c r="Q1012" s="118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2:34" s="60" customFormat="1" x14ac:dyDescent="0.2">
      <c r="B1013" s="1"/>
      <c r="C1013" s="1"/>
      <c r="D1013" s="1"/>
      <c r="E1013" s="2"/>
      <c r="F1013" s="158"/>
      <c r="G1013" s="158"/>
      <c r="H1013" s="1"/>
      <c r="I1013" s="1"/>
      <c r="J1013" s="1"/>
      <c r="K1013" s="1"/>
      <c r="L1013" s="1"/>
      <c r="M1013" s="1"/>
      <c r="N1013" s="1"/>
      <c r="O1013" s="1"/>
      <c r="P1013" s="1"/>
      <c r="Q1013" s="118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2:34" s="60" customFormat="1" x14ac:dyDescent="0.2">
      <c r="B1014" s="1"/>
      <c r="C1014" s="1"/>
      <c r="D1014" s="1"/>
      <c r="E1014" s="2"/>
      <c r="F1014" s="158"/>
      <c r="G1014" s="158"/>
      <c r="H1014" s="1"/>
      <c r="I1014" s="1"/>
      <c r="J1014" s="1"/>
      <c r="K1014" s="1"/>
      <c r="L1014" s="1"/>
      <c r="M1014" s="1"/>
      <c r="N1014" s="1"/>
      <c r="O1014" s="1"/>
      <c r="P1014" s="1"/>
      <c r="Q1014" s="118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2:34" s="60" customFormat="1" x14ac:dyDescent="0.2">
      <c r="B1015" s="1"/>
      <c r="C1015" s="1"/>
      <c r="D1015" s="1"/>
      <c r="E1015" s="2"/>
      <c r="F1015" s="158"/>
      <c r="G1015" s="158"/>
      <c r="H1015" s="1"/>
      <c r="I1015" s="1"/>
      <c r="J1015" s="1"/>
      <c r="K1015" s="1"/>
      <c r="L1015" s="1"/>
      <c r="M1015" s="1"/>
      <c r="N1015" s="1"/>
      <c r="O1015" s="1"/>
      <c r="P1015" s="1"/>
      <c r="Q1015" s="118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2:34" s="60" customFormat="1" x14ac:dyDescent="0.2">
      <c r="B1016" s="1"/>
      <c r="C1016" s="1"/>
      <c r="D1016" s="1"/>
      <c r="E1016" s="2"/>
      <c r="F1016" s="158"/>
      <c r="G1016" s="158"/>
      <c r="H1016" s="1"/>
      <c r="I1016" s="1"/>
      <c r="J1016" s="1"/>
      <c r="K1016" s="1"/>
      <c r="L1016" s="1"/>
      <c r="M1016" s="1"/>
      <c r="N1016" s="1"/>
      <c r="O1016" s="1"/>
      <c r="P1016" s="1"/>
      <c r="Q1016" s="118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2:34" s="60" customFormat="1" x14ac:dyDescent="0.2">
      <c r="B1017" s="1"/>
      <c r="C1017" s="1"/>
      <c r="D1017" s="1"/>
      <c r="E1017" s="2"/>
      <c r="F1017" s="158"/>
      <c r="G1017" s="158"/>
      <c r="H1017" s="1"/>
      <c r="I1017" s="1"/>
      <c r="J1017" s="1"/>
      <c r="K1017" s="1"/>
      <c r="L1017" s="1"/>
      <c r="M1017" s="1"/>
      <c r="N1017" s="1"/>
      <c r="O1017" s="1"/>
      <c r="P1017" s="1"/>
      <c r="Q1017" s="118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2:34" s="60" customFormat="1" x14ac:dyDescent="0.2">
      <c r="B1018" s="1"/>
      <c r="C1018" s="1"/>
      <c r="D1018" s="1"/>
      <c r="E1018" s="2"/>
      <c r="F1018" s="158"/>
      <c r="G1018" s="158"/>
      <c r="H1018" s="1"/>
      <c r="I1018" s="1"/>
      <c r="J1018" s="1"/>
      <c r="K1018" s="1"/>
      <c r="L1018" s="1"/>
      <c r="M1018" s="1"/>
      <c r="N1018" s="1"/>
      <c r="O1018" s="1"/>
      <c r="P1018" s="1"/>
      <c r="Q1018" s="118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2:34" s="60" customFormat="1" x14ac:dyDescent="0.2">
      <c r="B1019" s="1"/>
      <c r="C1019" s="1"/>
      <c r="D1019" s="1"/>
      <c r="E1019" s="2"/>
      <c r="F1019" s="158"/>
      <c r="G1019" s="158"/>
      <c r="H1019" s="1"/>
      <c r="I1019" s="1"/>
      <c r="J1019" s="1"/>
      <c r="K1019" s="1"/>
      <c r="L1019" s="1"/>
      <c r="M1019" s="1"/>
      <c r="N1019" s="1"/>
      <c r="O1019" s="1"/>
      <c r="P1019" s="1"/>
      <c r="Q1019" s="118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2:34" s="60" customFormat="1" x14ac:dyDescent="0.2">
      <c r="B1020" s="1"/>
      <c r="C1020" s="1"/>
      <c r="D1020" s="1"/>
      <c r="E1020" s="2"/>
      <c r="F1020" s="158"/>
      <c r="G1020" s="158"/>
      <c r="H1020" s="1"/>
      <c r="I1020" s="1"/>
      <c r="J1020" s="1"/>
      <c r="K1020" s="1"/>
      <c r="L1020" s="1"/>
      <c r="M1020" s="1"/>
      <c r="N1020" s="1"/>
      <c r="O1020" s="1"/>
      <c r="P1020" s="1"/>
      <c r="Q1020" s="118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2:34" s="60" customFormat="1" x14ac:dyDescent="0.2">
      <c r="B1021" s="1"/>
      <c r="C1021" s="1"/>
      <c r="D1021" s="1"/>
      <c r="E1021" s="2"/>
      <c r="F1021" s="158"/>
      <c r="G1021" s="158"/>
      <c r="H1021" s="1"/>
      <c r="I1021" s="1"/>
      <c r="J1021" s="1"/>
      <c r="K1021" s="1"/>
      <c r="L1021" s="1"/>
      <c r="M1021" s="1"/>
      <c r="N1021" s="1"/>
      <c r="O1021" s="1"/>
      <c r="P1021" s="1"/>
      <c r="Q1021" s="118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2:34" s="60" customFormat="1" x14ac:dyDescent="0.2">
      <c r="B1022" s="1"/>
      <c r="C1022" s="1"/>
      <c r="D1022" s="1"/>
      <c r="E1022" s="2"/>
      <c r="F1022" s="158"/>
      <c r="G1022" s="158"/>
      <c r="H1022" s="1"/>
      <c r="I1022" s="1"/>
      <c r="J1022" s="1"/>
      <c r="K1022" s="1"/>
      <c r="L1022" s="1"/>
      <c r="M1022" s="1"/>
      <c r="N1022" s="1"/>
      <c r="O1022" s="1"/>
      <c r="P1022" s="1"/>
      <c r="Q1022" s="118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:34" s="60" customFormat="1" x14ac:dyDescent="0.2">
      <c r="B1023" s="1"/>
      <c r="C1023" s="1"/>
      <c r="D1023" s="1"/>
      <c r="E1023" s="2"/>
      <c r="F1023" s="158"/>
      <c r="G1023" s="158"/>
      <c r="H1023" s="1"/>
      <c r="I1023" s="1"/>
      <c r="J1023" s="1"/>
      <c r="K1023" s="1"/>
      <c r="L1023" s="1"/>
      <c r="M1023" s="1"/>
      <c r="N1023" s="1"/>
      <c r="O1023" s="1"/>
      <c r="P1023" s="1"/>
      <c r="Q1023" s="118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:34" s="60" customFormat="1" x14ac:dyDescent="0.2">
      <c r="B1024" s="1"/>
      <c r="C1024" s="1"/>
      <c r="D1024" s="1"/>
      <c r="E1024" s="2"/>
      <c r="F1024" s="158"/>
      <c r="G1024" s="158"/>
      <c r="H1024" s="1"/>
      <c r="I1024" s="1"/>
      <c r="J1024" s="1"/>
      <c r="K1024" s="1"/>
      <c r="L1024" s="1"/>
      <c r="M1024" s="1"/>
      <c r="N1024" s="1"/>
      <c r="O1024" s="1"/>
      <c r="P1024" s="1"/>
      <c r="Q1024" s="118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:34" s="60" customFormat="1" x14ac:dyDescent="0.2">
      <c r="B1025" s="1"/>
      <c r="C1025" s="1"/>
      <c r="D1025" s="1"/>
      <c r="E1025" s="2"/>
      <c r="F1025" s="158"/>
      <c r="G1025" s="158"/>
      <c r="H1025" s="1"/>
      <c r="I1025" s="1"/>
      <c r="J1025" s="1"/>
      <c r="K1025" s="1"/>
      <c r="L1025" s="1"/>
      <c r="M1025" s="1"/>
      <c r="N1025" s="1"/>
      <c r="O1025" s="1"/>
      <c r="P1025" s="1"/>
      <c r="Q1025" s="118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:34" s="60" customFormat="1" x14ac:dyDescent="0.2">
      <c r="B1026" s="1"/>
      <c r="C1026" s="1"/>
      <c r="D1026" s="1"/>
      <c r="E1026" s="2"/>
      <c r="F1026" s="158"/>
      <c r="G1026" s="158"/>
      <c r="H1026" s="1"/>
      <c r="I1026" s="1"/>
      <c r="J1026" s="1"/>
      <c r="K1026" s="1"/>
      <c r="L1026" s="1"/>
      <c r="M1026" s="1"/>
      <c r="N1026" s="1"/>
      <c r="O1026" s="1"/>
      <c r="P1026" s="1"/>
      <c r="Q1026" s="118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:34" s="60" customFormat="1" x14ac:dyDescent="0.2">
      <c r="B1027" s="1"/>
      <c r="C1027" s="1"/>
      <c r="D1027" s="1"/>
      <c r="E1027" s="2"/>
      <c r="F1027" s="158"/>
      <c r="G1027" s="158"/>
      <c r="H1027" s="1"/>
      <c r="I1027" s="1"/>
      <c r="J1027" s="1"/>
      <c r="K1027" s="1"/>
      <c r="L1027" s="1"/>
      <c r="M1027" s="1"/>
      <c r="N1027" s="1"/>
      <c r="O1027" s="1"/>
      <c r="P1027" s="1"/>
      <c r="Q1027" s="118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:34" s="60" customFormat="1" x14ac:dyDescent="0.2">
      <c r="B1028" s="1"/>
      <c r="C1028" s="1"/>
      <c r="D1028" s="1"/>
      <c r="E1028" s="2"/>
      <c r="F1028" s="158"/>
      <c r="G1028" s="158"/>
      <c r="H1028" s="1"/>
      <c r="I1028" s="1"/>
      <c r="J1028" s="1"/>
      <c r="K1028" s="1"/>
      <c r="L1028" s="1"/>
      <c r="M1028" s="1"/>
      <c r="N1028" s="1"/>
      <c r="O1028" s="1"/>
      <c r="P1028" s="1"/>
      <c r="Q1028" s="118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s="60" customFormat="1" x14ac:dyDescent="0.2">
      <c r="B1029" s="1"/>
      <c r="C1029" s="1"/>
      <c r="D1029" s="1"/>
      <c r="E1029" s="2"/>
      <c r="F1029" s="158"/>
      <c r="G1029" s="158"/>
      <c r="H1029" s="1"/>
      <c r="I1029" s="1"/>
      <c r="J1029" s="1"/>
      <c r="K1029" s="1"/>
      <c r="L1029" s="1"/>
      <c r="M1029" s="1"/>
      <c r="N1029" s="1"/>
      <c r="O1029" s="1"/>
      <c r="P1029" s="1"/>
      <c r="Q1029" s="118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:34" s="60" customFormat="1" x14ac:dyDescent="0.2">
      <c r="B1030" s="1"/>
      <c r="C1030" s="1"/>
      <c r="D1030" s="1"/>
      <c r="E1030" s="2"/>
      <c r="F1030" s="158"/>
      <c r="G1030" s="158"/>
      <c r="H1030" s="1"/>
      <c r="I1030" s="1"/>
      <c r="J1030" s="1"/>
      <c r="K1030" s="1"/>
      <c r="L1030" s="1"/>
      <c r="M1030" s="1"/>
      <c r="N1030" s="1"/>
      <c r="O1030" s="1"/>
      <c r="P1030" s="1"/>
      <c r="Q1030" s="118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2:34" s="60" customFormat="1" x14ac:dyDescent="0.2">
      <c r="B1031" s="1"/>
      <c r="C1031" s="1"/>
      <c r="D1031" s="1"/>
      <c r="E1031" s="2"/>
      <c r="F1031" s="158"/>
      <c r="G1031" s="158"/>
      <c r="H1031" s="1"/>
      <c r="I1031" s="1"/>
      <c r="J1031" s="1"/>
      <c r="K1031" s="1"/>
      <c r="L1031" s="1"/>
      <c r="M1031" s="1"/>
      <c r="N1031" s="1"/>
      <c r="O1031" s="1"/>
      <c r="P1031" s="1"/>
      <c r="Q1031" s="118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2:34" s="60" customFormat="1" x14ac:dyDescent="0.2">
      <c r="B1032" s="1"/>
      <c r="C1032" s="1"/>
      <c r="D1032" s="1"/>
      <c r="E1032" s="2"/>
      <c r="F1032" s="158"/>
      <c r="G1032" s="158"/>
      <c r="H1032" s="1"/>
      <c r="I1032" s="1"/>
      <c r="J1032" s="1"/>
      <c r="K1032" s="1"/>
      <c r="L1032" s="1"/>
      <c r="M1032" s="1"/>
      <c r="N1032" s="1"/>
      <c r="O1032" s="1"/>
      <c r="P1032" s="1"/>
      <c r="Q1032" s="118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2:34" s="60" customFormat="1" x14ac:dyDescent="0.2">
      <c r="B1033" s="1"/>
      <c r="C1033" s="1"/>
      <c r="D1033" s="1"/>
      <c r="E1033" s="2"/>
      <c r="F1033" s="158"/>
      <c r="G1033" s="158"/>
      <c r="H1033" s="1"/>
      <c r="I1033" s="1"/>
      <c r="J1033" s="1"/>
      <c r="K1033" s="1"/>
      <c r="L1033" s="1"/>
      <c r="M1033" s="1"/>
      <c r="N1033" s="1"/>
      <c r="O1033" s="1"/>
      <c r="P1033" s="1"/>
      <c r="Q1033" s="118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2:34" s="60" customFormat="1" x14ac:dyDescent="0.2">
      <c r="B1034" s="1"/>
      <c r="C1034" s="1"/>
      <c r="D1034" s="1"/>
      <c r="E1034" s="2"/>
      <c r="F1034" s="158"/>
      <c r="G1034" s="158"/>
      <c r="H1034" s="1"/>
      <c r="I1034" s="1"/>
      <c r="J1034" s="1"/>
      <c r="K1034" s="1"/>
      <c r="L1034" s="1"/>
      <c r="M1034" s="1"/>
      <c r="N1034" s="1"/>
      <c r="O1034" s="1"/>
      <c r="P1034" s="1"/>
      <c r="Q1034" s="118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2:34" s="60" customFormat="1" x14ac:dyDescent="0.2">
      <c r="B1035" s="1"/>
      <c r="C1035" s="1"/>
      <c r="D1035" s="1"/>
      <c r="E1035" s="2"/>
      <c r="F1035" s="158"/>
      <c r="G1035" s="158"/>
      <c r="H1035" s="1"/>
      <c r="I1035" s="1"/>
      <c r="J1035" s="1"/>
      <c r="K1035" s="1"/>
      <c r="L1035" s="1"/>
      <c r="M1035" s="1"/>
      <c r="N1035" s="1"/>
      <c r="O1035" s="1"/>
      <c r="P1035" s="1"/>
      <c r="Q1035" s="118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2:34" s="60" customFormat="1" x14ac:dyDescent="0.2">
      <c r="B1036" s="1"/>
      <c r="C1036" s="1"/>
      <c r="D1036" s="1"/>
      <c r="E1036" s="2"/>
      <c r="F1036" s="158"/>
      <c r="G1036" s="158"/>
      <c r="H1036" s="1"/>
      <c r="I1036" s="1"/>
      <c r="J1036" s="1"/>
      <c r="K1036" s="1"/>
      <c r="L1036" s="1"/>
      <c r="M1036" s="1"/>
      <c r="N1036" s="1"/>
      <c r="O1036" s="1"/>
      <c r="P1036" s="1"/>
      <c r="Q1036" s="118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2:34" s="60" customFormat="1" x14ac:dyDescent="0.2">
      <c r="B1037" s="1"/>
      <c r="C1037" s="1"/>
      <c r="D1037" s="1"/>
      <c r="E1037" s="2"/>
      <c r="F1037" s="158"/>
      <c r="G1037" s="158"/>
      <c r="H1037" s="1"/>
      <c r="I1037" s="1"/>
      <c r="J1037" s="1"/>
      <c r="K1037" s="1"/>
      <c r="L1037" s="1"/>
      <c r="M1037" s="1"/>
      <c r="N1037" s="1"/>
      <c r="O1037" s="1"/>
      <c r="P1037" s="1"/>
      <c r="Q1037" s="118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2:34" s="60" customFormat="1" x14ac:dyDescent="0.2">
      <c r="B1038" s="1"/>
      <c r="C1038" s="1"/>
      <c r="D1038" s="1"/>
      <c r="E1038" s="2"/>
      <c r="F1038" s="158"/>
      <c r="G1038" s="158"/>
      <c r="H1038" s="1"/>
      <c r="I1038" s="1"/>
      <c r="J1038" s="1"/>
      <c r="K1038" s="1"/>
      <c r="L1038" s="1"/>
      <c r="M1038" s="1"/>
      <c r="N1038" s="1"/>
      <c r="O1038" s="1"/>
      <c r="P1038" s="1"/>
      <c r="Q1038" s="118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2:34" s="60" customFormat="1" x14ac:dyDescent="0.2">
      <c r="B1039" s="1"/>
      <c r="C1039" s="1"/>
      <c r="D1039" s="1"/>
      <c r="E1039" s="2"/>
      <c r="F1039" s="158"/>
      <c r="G1039" s="158"/>
      <c r="H1039" s="1"/>
      <c r="I1039" s="1"/>
      <c r="J1039" s="1"/>
      <c r="K1039" s="1"/>
      <c r="L1039" s="1"/>
      <c r="M1039" s="1"/>
      <c r="N1039" s="1"/>
      <c r="O1039" s="1"/>
      <c r="P1039" s="1"/>
      <c r="Q1039" s="118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2:34" s="60" customFormat="1" x14ac:dyDescent="0.2">
      <c r="B1040" s="1"/>
      <c r="C1040" s="1"/>
      <c r="D1040" s="1"/>
      <c r="E1040" s="2"/>
      <c r="F1040" s="158"/>
      <c r="G1040" s="158"/>
      <c r="H1040" s="1"/>
      <c r="I1040" s="1"/>
      <c r="J1040" s="1"/>
      <c r="K1040" s="1"/>
      <c r="L1040" s="1"/>
      <c r="M1040" s="1"/>
      <c r="N1040" s="1"/>
      <c r="O1040" s="1"/>
      <c r="P1040" s="1"/>
      <c r="Q1040" s="118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2:34" s="60" customFormat="1" x14ac:dyDescent="0.2">
      <c r="B1041" s="1"/>
      <c r="C1041" s="1"/>
      <c r="D1041" s="1"/>
      <c r="E1041" s="2"/>
      <c r="F1041" s="158"/>
      <c r="G1041" s="158"/>
      <c r="H1041" s="1"/>
      <c r="I1041" s="1"/>
      <c r="J1041" s="1"/>
      <c r="K1041" s="1"/>
      <c r="L1041" s="1"/>
      <c r="M1041" s="1"/>
      <c r="N1041" s="1"/>
      <c r="O1041" s="1"/>
      <c r="P1041" s="1"/>
      <c r="Q1041" s="118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2:34" s="60" customFormat="1" x14ac:dyDescent="0.2">
      <c r="B1042" s="1"/>
      <c r="C1042" s="1"/>
      <c r="D1042" s="1"/>
      <c r="E1042" s="2"/>
      <c r="F1042" s="158"/>
      <c r="G1042" s="158"/>
      <c r="H1042" s="1"/>
      <c r="I1042" s="1"/>
      <c r="J1042" s="1"/>
      <c r="K1042" s="1"/>
      <c r="L1042" s="1"/>
      <c r="M1042" s="1"/>
      <c r="N1042" s="1"/>
      <c r="O1042" s="1"/>
      <c r="P1042" s="1"/>
      <c r="Q1042" s="118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2:34" s="60" customFormat="1" x14ac:dyDescent="0.2">
      <c r="B1043" s="1"/>
      <c r="C1043" s="1"/>
      <c r="D1043" s="1"/>
      <c r="E1043" s="2"/>
      <c r="F1043" s="158"/>
      <c r="G1043" s="158"/>
      <c r="H1043" s="1"/>
      <c r="I1043" s="1"/>
      <c r="J1043" s="1"/>
      <c r="K1043" s="1"/>
      <c r="L1043" s="1"/>
      <c r="M1043" s="1"/>
      <c r="N1043" s="1"/>
      <c r="O1043" s="1"/>
      <c r="P1043" s="1"/>
      <c r="Q1043" s="118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2:34" s="60" customFormat="1" x14ac:dyDescent="0.2">
      <c r="B1044" s="1"/>
      <c r="C1044" s="1"/>
      <c r="D1044" s="1"/>
      <c r="E1044" s="2"/>
      <c r="F1044" s="158"/>
      <c r="G1044" s="158"/>
      <c r="H1044" s="1"/>
      <c r="I1044" s="1"/>
      <c r="J1044" s="1"/>
      <c r="K1044" s="1"/>
      <c r="L1044" s="1"/>
      <c r="M1044" s="1"/>
      <c r="N1044" s="1"/>
      <c r="O1044" s="1"/>
      <c r="P1044" s="1"/>
      <c r="Q1044" s="118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2:34" s="60" customFormat="1" x14ac:dyDescent="0.2">
      <c r="B1045" s="1"/>
      <c r="C1045" s="1"/>
      <c r="D1045" s="1"/>
      <c r="E1045" s="2"/>
      <c r="F1045" s="158"/>
      <c r="G1045" s="158"/>
      <c r="H1045" s="1"/>
      <c r="I1045" s="1"/>
      <c r="J1045" s="1"/>
      <c r="K1045" s="1"/>
      <c r="L1045" s="1"/>
      <c r="M1045" s="1"/>
      <c r="N1045" s="1"/>
      <c r="O1045" s="1"/>
      <c r="P1045" s="1"/>
      <c r="Q1045" s="118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2:34" s="60" customFormat="1" x14ac:dyDescent="0.2">
      <c r="B1046" s="1"/>
      <c r="C1046" s="1"/>
      <c r="D1046" s="1"/>
      <c r="E1046" s="2"/>
      <c r="F1046" s="158"/>
      <c r="G1046" s="158"/>
      <c r="H1046" s="1"/>
      <c r="I1046" s="1"/>
      <c r="J1046" s="1"/>
      <c r="K1046" s="1"/>
      <c r="L1046" s="1"/>
      <c r="M1046" s="1"/>
      <c r="N1046" s="1"/>
      <c r="O1046" s="1"/>
      <c r="P1046" s="1"/>
      <c r="Q1046" s="118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2:34" s="60" customFormat="1" x14ac:dyDescent="0.2">
      <c r="B1047" s="1"/>
      <c r="C1047" s="1"/>
      <c r="D1047" s="1"/>
      <c r="E1047" s="2"/>
      <c r="F1047" s="158"/>
      <c r="G1047" s="158"/>
      <c r="H1047" s="1"/>
      <c r="I1047" s="1"/>
      <c r="J1047" s="1"/>
      <c r="K1047" s="1"/>
      <c r="L1047" s="1"/>
      <c r="M1047" s="1"/>
      <c r="N1047" s="1"/>
      <c r="O1047" s="1"/>
      <c r="P1047" s="1"/>
      <c r="Q1047" s="118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2:34" s="60" customFormat="1" x14ac:dyDescent="0.2">
      <c r="B1048" s="1"/>
      <c r="C1048" s="1"/>
      <c r="D1048" s="1"/>
      <c r="E1048" s="2"/>
      <c r="F1048" s="158"/>
      <c r="G1048" s="158"/>
      <c r="H1048" s="1"/>
      <c r="I1048" s="1"/>
      <c r="J1048" s="1"/>
      <c r="K1048" s="1"/>
      <c r="L1048" s="1"/>
      <c r="M1048" s="1"/>
      <c r="N1048" s="1"/>
      <c r="O1048" s="1"/>
      <c r="P1048" s="1"/>
      <c r="Q1048" s="118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2:34" s="60" customFormat="1" x14ac:dyDescent="0.2">
      <c r="B1049" s="1"/>
      <c r="C1049" s="1"/>
      <c r="D1049" s="1"/>
      <c r="E1049" s="2"/>
      <c r="F1049" s="158"/>
      <c r="G1049" s="158"/>
      <c r="H1049" s="1"/>
      <c r="I1049" s="1"/>
      <c r="J1049" s="1"/>
      <c r="K1049" s="1"/>
      <c r="L1049" s="1"/>
      <c r="M1049" s="1"/>
      <c r="N1049" s="1"/>
      <c r="O1049" s="1"/>
      <c r="P1049" s="1"/>
      <c r="Q1049" s="118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2:34" s="60" customFormat="1" x14ac:dyDescent="0.2">
      <c r="B1050" s="1"/>
      <c r="C1050" s="1"/>
      <c r="D1050" s="1"/>
      <c r="E1050" s="2"/>
      <c r="F1050" s="158"/>
      <c r="G1050" s="158"/>
      <c r="H1050" s="1"/>
      <c r="I1050" s="1"/>
      <c r="J1050" s="1"/>
      <c r="K1050" s="1"/>
      <c r="L1050" s="1"/>
      <c r="M1050" s="1"/>
      <c r="N1050" s="1"/>
      <c r="O1050" s="1"/>
      <c r="P1050" s="1"/>
      <c r="Q1050" s="118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2:34" s="60" customFormat="1" x14ac:dyDescent="0.2">
      <c r="B1051" s="1"/>
      <c r="C1051" s="1"/>
      <c r="D1051" s="1"/>
      <c r="E1051" s="2"/>
      <c r="F1051" s="158"/>
      <c r="G1051" s="158"/>
      <c r="H1051" s="1"/>
      <c r="I1051" s="1"/>
      <c r="J1051" s="1"/>
      <c r="K1051" s="1"/>
      <c r="L1051" s="1"/>
      <c r="M1051" s="1"/>
      <c r="N1051" s="1"/>
      <c r="O1051" s="1"/>
      <c r="P1051" s="1"/>
      <c r="Q1051" s="118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2:34" s="60" customFormat="1" x14ac:dyDescent="0.2">
      <c r="B1052" s="1"/>
      <c r="C1052" s="1"/>
      <c r="D1052" s="1"/>
      <c r="E1052" s="2"/>
      <c r="F1052" s="158"/>
      <c r="G1052" s="158"/>
      <c r="H1052" s="1"/>
      <c r="I1052" s="1"/>
      <c r="J1052" s="1"/>
      <c r="K1052" s="1"/>
      <c r="L1052" s="1"/>
      <c r="M1052" s="1"/>
      <c r="N1052" s="1"/>
      <c r="O1052" s="1"/>
      <c r="P1052" s="1"/>
      <c r="Q1052" s="118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2:34" s="60" customFormat="1" x14ac:dyDescent="0.2">
      <c r="B1053" s="1"/>
      <c r="C1053" s="1"/>
      <c r="D1053" s="1"/>
      <c r="E1053" s="2"/>
      <c r="F1053" s="158"/>
      <c r="G1053" s="158"/>
      <c r="H1053" s="1"/>
      <c r="I1053" s="1"/>
      <c r="J1053" s="1"/>
      <c r="K1053" s="1"/>
      <c r="L1053" s="1"/>
      <c r="M1053" s="1"/>
      <c r="N1053" s="1"/>
      <c r="O1053" s="1"/>
      <c r="P1053" s="1"/>
      <c r="Q1053" s="118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2:34" s="60" customFormat="1" x14ac:dyDescent="0.2">
      <c r="B1054" s="1"/>
      <c r="C1054" s="1"/>
      <c r="D1054" s="1"/>
      <c r="E1054" s="2"/>
      <c r="F1054" s="158"/>
      <c r="G1054" s="158"/>
      <c r="H1054" s="1"/>
      <c r="I1054" s="1"/>
      <c r="J1054" s="1"/>
      <c r="K1054" s="1"/>
      <c r="L1054" s="1"/>
      <c r="M1054" s="1"/>
      <c r="N1054" s="1"/>
      <c r="O1054" s="1"/>
      <c r="P1054" s="1"/>
      <c r="Q1054" s="118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2:34" s="60" customFormat="1" x14ac:dyDescent="0.2">
      <c r="B1055" s="1"/>
      <c r="C1055" s="1"/>
      <c r="D1055" s="1"/>
      <c r="E1055" s="2"/>
      <c r="F1055" s="158"/>
      <c r="G1055" s="158"/>
      <c r="H1055" s="1"/>
      <c r="I1055" s="1"/>
      <c r="J1055" s="1"/>
      <c r="K1055" s="1"/>
      <c r="L1055" s="1"/>
      <c r="M1055" s="1"/>
      <c r="N1055" s="1"/>
      <c r="O1055" s="1"/>
      <c r="P1055" s="1"/>
      <c r="Q1055" s="118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2:34" s="60" customFormat="1" x14ac:dyDescent="0.2">
      <c r="B1056" s="1"/>
      <c r="C1056" s="1"/>
      <c r="D1056" s="1"/>
      <c r="E1056" s="2"/>
      <c r="F1056" s="158"/>
      <c r="G1056" s="158"/>
      <c r="H1056" s="1"/>
      <c r="I1056" s="1"/>
      <c r="J1056" s="1"/>
      <c r="K1056" s="1"/>
      <c r="L1056" s="1"/>
      <c r="M1056" s="1"/>
      <c r="N1056" s="1"/>
      <c r="O1056" s="1"/>
      <c r="P1056" s="1"/>
      <c r="Q1056" s="118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2:34" s="60" customFormat="1" x14ac:dyDescent="0.2">
      <c r="B1057" s="1"/>
      <c r="C1057" s="1"/>
      <c r="D1057" s="1"/>
      <c r="E1057" s="2"/>
      <c r="F1057" s="158"/>
      <c r="G1057" s="158"/>
      <c r="H1057" s="1"/>
      <c r="I1057" s="1"/>
      <c r="J1057" s="1"/>
      <c r="K1057" s="1"/>
      <c r="L1057" s="1"/>
      <c r="M1057" s="1"/>
      <c r="N1057" s="1"/>
      <c r="O1057" s="1"/>
      <c r="P1057" s="1"/>
      <c r="Q1057" s="118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2:34" s="60" customFormat="1" x14ac:dyDescent="0.2">
      <c r="B1058" s="1"/>
      <c r="C1058" s="1"/>
      <c r="D1058" s="1"/>
      <c r="E1058" s="2"/>
      <c r="F1058" s="158"/>
      <c r="G1058" s="158"/>
      <c r="H1058" s="1"/>
      <c r="I1058" s="1"/>
      <c r="J1058" s="1"/>
      <c r="K1058" s="1"/>
      <c r="L1058" s="1"/>
      <c r="M1058" s="1"/>
      <c r="N1058" s="1"/>
      <c r="O1058" s="1"/>
      <c r="P1058" s="1"/>
      <c r="Q1058" s="118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2:34" s="60" customFormat="1" x14ac:dyDescent="0.2">
      <c r="B1059" s="1"/>
      <c r="C1059" s="1"/>
      <c r="D1059" s="1"/>
      <c r="E1059" s="2"/>
      <c r="F1059" s="158"/>
      <c r="G1059" s="158"/>
      <c r="H1059" s="1"/>
      <c r="I1059" s="1"/>
      <c r="J1059" s="1"/>
      <c r="K1059" s="1"/>
      <c r="L1059" s="1"/>
      <c r="M1059" s="1"/>
      <c r="N1059" s="1"/>
      <c r="O1059" s="1"/>
      <c r="P1059" s="1"/>
      <c r="Q1059" s="118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2:34" s="60" customFormat="1" x14ac:dyDescent="0.2">
      <c r="B1060" s="1"/>
      <c r="C1060" s="1"/>
      <c r="D1060" s="1"/>
      <c r="E1060" s="2"/>
      <c r="F1060" s="158"/>
      <c r="G1060" s="158"/>
      <c r="H1060" s="1"/>
      <c r="I1060" s="1"/>
      <c r="J1060" s="1"/>
      <c r="K1060" s="1"/>
      <c r="L1060" s="1"/>
      <c r="M1060" s="1"/>
      <c r="N1060" s="1"/>
      <c r="O1060" s="1"/>
      <c r="P1060" s="1"/>
      <c r="Q1060" s="118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2:34" s="60" customFormat="1" x14ac:dyDescent="0.2">
      <c r="B1061" s="1"/>
      <c r="C1061" s="1"/>
      <c r="D1061" s="1"/>
      <c r="E1061" s="2"/>
      <c r="F1061" s="158"/>
      <c r="G1061" s="158"/>
      <c r="H1061" s="1"/>
      <c r="I1061" s="1"/>
      <c r="J1061" s="1"/>
      <c r="K1061" s="1"/>
      <c r="L1061" s="1"/>
      <c r="M1061" s="1"/>
      <c r="N1061" s="1"/>
      <c r="O1061" s="1"/>
      <c r="P1061" s="1"/>
      <c r="Q1061" s="118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2:34" s="60" customFormat="1" x14ac:dyDescent="0.2">
      <c r="B1062" s="1"/>
      <c r="C1062" s="1"/>
      <c r="D1062" s="1"/>
      <c r="E1062" s="2"/>
      <c r="F1062" s="158"/>
      <c r="G1062" s="158"/>
      <c r="H1062" s="1"/>
      <c r="I1062" s="1"/>
      <c r="J1062" s="1"/>
      <c r="K1062" s="1"/>
      <c r="L1062" s="1"/>
      <c r="M1062" s="1"/>
      <c r="N1062" s="1"/>
      <c r="O1062" s="1"/>
      <c r="P1062" s="1"/>
      <c r="Q1062" s="118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2:34" s="60" customFormat="1" x14ac:dyDescent="0.2">
      <c r="B1063" s="1"/>
      <c r="C1063" s="1"/>
      <c r="D1063" s="1"/>
      <c r="E1063" s="2"/>
      <c r="F1063" s="158"/>
      <c r="G1063" s="158"/>
      <c r="H1063" s="1"/>
      <c r="I1063" s="1"/>
      <c r="J1063" s="1"/>
      <c r="K1063" s="1"/>
      <c r="L1063" s="1"/>
      <c r="M1063" s="1"/>
      <c r="N1063" s="1"/>
      <c r="O1063" s="1"/>
      <c r="P1063" s="1"/>
      <c r="Q1063" s="118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2:34" s="60" customFormat="1" x14ac:dyDescent="0.2">
      <c r="B1064" s="1"/>
      <c r="C1064" s="1"/>
      <c r="D1064" s="1"/>
      <c r="E1064" s="2"/>
      <c r="F1064" s="158"/>
      <c r="G1064" s="158"/>
      <c r="H1064" s="1"/>
      <c r="I1064" s="1"/>
      <c r="J1064" s="1"/>
      <c r="K1064" s="1"/>
      <c r="L1064" s="1"/>
      <c r="M1064" s="1"/>
      <c r="N1064" s="1"/>
      <c r="O1064" s="1"/>
      <c r="P1064" s="1"/>
      <c r="Q1064" s="118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2:34" s="60" customFormat="1" x14ac:dyDescent="0.2">
      <c r="B1065" s="1"/>
      <c r="C1065" s="1"/>
      <c r="D1065" s="1"/>
      <c r="E1065" s="2"/>
      <c r="F1065" s="158"/>
      <c r="G1065" s="158"/>
      <c r="H1065" s="1"/>
      <c r="I1065" s="1"/>
      <c r="J1065" s="1"/>
      <c r="K1065" s="1"/>
      <c r="L1065" s="1"/>
      <c r="M1065" s="1"/>
      <c r="N1065" s="1"/>
      <c r="O1065" s="1"/>
      <c r="P1065" s="1"/>
      <c r="Q1065" s="118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2:34" s="60" customFormat="1" x14ac:dyDescent="0.2">
      <c r="B1066" s="1"/>
      <c r="C1066" s="1"/>
      <c r="D1066" s="1"/>
      <c r="E1066" s="2"/>
      <c r="F1066" s="158"/>
      <c r="G1066" s="158"/>
      <c r="H1066" s="1"/>
      <c r="I1066" s="1"/>
      <c r="J1066" s="1"/>
      <c r="K1066" s="1"/>
      <c r="L1066" s="1"/>
      <c r="M1066" s="1"/>
      <c r="N1066" s="1"/>
      <c r="O1066" s="1"/>
      <c r="P1066" s="1"/>
      <c r="Q1066" s="118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2:34" s="60" customFormat="1" x14ac:dyDescent="0.2">
      <c r="B1067" s="1"/>
      <c r="C1067" s="1"/>
      <c r="D1067" s="1"/>
      <c r="E1067" s="2"/>
      <c r="F1067" s="158"/>
      <c r="G1067" s="158"/>
      <c r="H1067" s="1"/>
      <c r="I1067" s="1"/>
      <c r="J1067" s="1"/>
      <c r="K1067" s="1"/>
      <c r="L1067" s="1"/>
      <c r="M1067" s="1"/>
      <c r="N1067" s="1"/>
      <c r="O1067" s="1"/>
      <c r="P1067" s="1"/>
      <c r="Q1067" s="118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2:34" s="60" customFormat="1" x14ac:dyDescent="0.2">
      <c r="B1068" s="1"/>
      <c r="C1068" s="1"/>
      <c r="D1068" s="1"/>
      <c r="E1068" s="2"/>
      <c r="F1068" s="158"/>
      <c r="G1068" s="158"/>
      <c r="H1068" s="1"/>
      <c r="I1068" s="1"/>
      <c r="J1068" s="1"/>
      <c r="K1068" s="1"/>
      <c r="L1068" s="1"/>
      <c r="M1068" s="1"/>
      <c r="N1068" s="1"/>
      <c r="O1068" s="1"/>
      <c r="P1068" s="1"/>
      <c r="Q1068" s="118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2:34" s="60" customFormat="1" x14ac:dyDescent="0.2">
      <c r="B1069" s="1"/>
      <c r="C1069" s="1"/>
      <c r="D1069" s="1"/>
      <c r="E1069" s="2"/>
      <c r="F1069" s="158"/>
      <c r="G1069" s="158"/>
      <c r="H1069" s="1"/>
      <c r="I1069" s="1"/>
      <c r="J1069" s="1"/>
      <c r="K1069" s="1"/>
      <c r="L1069" s="1"/>
      <c r="M1069" s="1"/>
      <c r="N1069" s="1"/>
      <c r="O1069" s="1"/>
      <c r="P1069" s="1"/>
      <c r="Q1069" s="118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2:34" s="60" customFormat="1" x14ac:dyDescent="0.2">
      <c r="B1070" s="1"/>
      <c r="C1070" s="1"/>
      <c r="D1070" s="1"/>
      <c r="E1070" s="2"/>
      <c r="F1070" s="158"/>
      <c r="G1070" s="158"/>
      <c r="H1070" s="1"/>
      <c r="I1070" s="1"/>
      <c r="J1070" s="1"/>
      <c r="K1070" s="1"/>
      <c r="L1070" s="1"/>
      <c r="M1070" s="1"/>
      <c r="N1070" s="1"/>
      <c r="O1070" s="1"/>
      <c r="P1070" s="1"/>
      <c r="Q1070" s="118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2:34" s="60" customFormat="1" x14ac:dyDescent="0.2">
      <c r="B1071" s="1"/>
      <c r="C1071" s="1"/>
      <c r="D1071" s="1"/>
      <c r="E1071" s="2"/>
      <c r="F1071" s="158"/>
      <c r="G1071" s="158"/>
      <c r="H1071" s="1"/>
      <c r="I1071" s="1"/>
      <c r="J1071" s="1"/>
      <c r="K1071" s="1"/>
      <c r="L1071" s="1"/>
      <c r="M1071" s="1"/>
      <c r="N1071" s="1"/>
      <c r="O1071" s="1"/>
      <c r="P1071" s="1"/>
      <c r="Q1071" s="118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2:34" s="60" customFormat="1" x14ac:dyDescent="0.2">
      <c r="B1072" s="1"/>
      <c r="C1072" s="1"/>
      <c r="D1072" s="1"/>
      <c r="E1072" s="2"/>
      <c r="F1072" s="158"/>
      <c r="G1072" s="158"/>
      <c r="H1072" s="1"/>
      <c r="I1072" s="1"/>
      <c r="J1072" s="1"/>
      <c r="K1072" s="1"/>
      <c r="L1072" s="1"/>
      <c r="M1072" s="1"/>
      <c r="N1072" s="1"/>
      <c r="O1072" s="1"/>
      <c r="P1072" s="1"/>
      <c r="Q1072" s="118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 s="60" customFormat="1" x14ac:dyDescent="0.2">
      <c r="B1073" s="1"/>
      <c r="C1073" s="1"/>
      <c r="D1073" s="1"/>
      <c r="E1073" s="2"/>
      <c r="F1073" s="158"/>
      <c r="G1073" s="158"/>
      <c r="H1073" s="1"/>
      <c r="I1073" s="1"/>
      <c r="J1073" s="1"/>
      <c r="K1073" s="1"/>
      <c r="L1073" s="1"/>
      <c r="M1073" s="1"/>
      <c r="N1073" s="1"/>
      <c r="O1073" s="1"/>
      <c r="P1073" s="1"/>
      <c r="Q1073" s="118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 s="60" customFormat="1" x14ac:dyDescent="0.2">
      <c r="B1074" s="1"/>
      <c r="C1074" s="1"/>
      <c r="D1074" s="1"/>
      <c r="E1074" s="2"/>
      <c r="F1074" s="158"/>
      <c r="G1074" s="158"/>
      <c r="H1074" s="1"/>
      <c r="I1074" s="1"/>
      <c r="J1074" s="1"/>
      <c r="K1074" s="1"/>
      <c r="L1074" s="1"/>
      <c r="M1074" s="1"/>
      <c r="N1074" s="1"/>
      <c r="O1074" s="1"/>
      <c r="P1074" s="1"/>
      <c r="Q1074" s="118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 s="60" customFormat="1" x14ac:dyDescent="0.2">
      <c r="B1075" s="1"/>
      <c r="C1075" s="1"/>
      <c r="D1075" s="1"/>
      <c r="E1075" s="2"/>
      <c r="F1075" s="158"/>
      <c r="G1075" s="158"/>
      <c r="H1075" s="1"/>
      <c r="I1075" s="1"/>
      <c r="J1075" s="1"/>
      <c r="K1075" s="1"/>
      <c r="L1075" s="1"/>
      <c r="M1075" s="1"/>
      <c r="N1075" s="1"/>
      <c r="O1075" s="1"/>
      <c r="P1075" s="1"/>
      <c r="Q1075" s="118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 s="60" customFormat="1" x14ac:dyDescent="0.2">
      <c r="B1076" s="1"/>
      <c r="C1076" s="1"/>
      <c r="D1076" s="1"/>
      <c r="E1076" s="2"/>
      <c r="F1076" s="158"/>
      <c r="G1076" s="158"/>
      <c r="H1076" s="1"/>
      <c r="I1076" s="1"/>
      <c r="J1076" s="1"/>
      <c r="K1076" s="1"/>
      <c r="L1076" s="1"/>
      <c r="M1076" s="1"/>
      <c r="N1076" s="1"/>
      <c r="O1076" s="1"/>
      <c r="P1076" s="1"/>
      <c r="Q1076" s="118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 s="60" customFormat="1" x14ac:dyDescent="0.2">
      <c r="B1077" s="1"/>
      <c r="C1077" s="1"/>
      <c r="D1077" s="1"/>
      <c r="E1077" s="2"/>
      <c r="F1077" s="158"/>
      <c r="G1077" s="158"/>
      <c r="H1077" s="1"/>
      <c r="I1077" s="1"/>
      <c r="J1077" s="1"/>
      <c r="K1077" s="1"/>
      <c r="L1077" s="1"/>
      <c r="M1077" s="1"/>
      <c r="N1077" s="1"/>
      <c r="O1077" s="1"/>
      <c r="P1077" s="1"/>
      <c r="Q1077" s="118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9" spans="1:34" x14ac:dyDescent="0.2">
      <c r="V1079" s="59"/>
    </row>
    <row r="1080" spans="1:34" s="84" customFormat="1" x14ac:dyDescent="0.2">
      <c r="A1080" s="83"/>
      <c r="E1080" s="85"/>
      <c r="F1080" s="85"/>
      <c r="G1080" s="85"/>
      <c r="M1080" s="143"/>
      <c r="N1080" s="85"/>
      <c r="O1080" s="85"/>
      <c r="P1080" s="85"/>
      <c r="Q1080" s="119"/>
      <c r="R1080" s="85"/>
      <c r="S1080" s="85"/>
      <c r="T1080" s="85"/>
      <c r="U1080" s="85"/>
      <c r="V1080" s="85"/>
      <c r="W1080" s="85"/>
      <c r="X1080" s="85"/>
      <c r="Y1080" s="85"/>
      <c r="Z1080" s="85"/>
      <c r="AA1080" s="85"/>
      <c r="AB1080" s="85"/>
      <c r="AC1080" s="85"/>
      <c r="AD1080" s="85"/>
    </row>
    <row r="1085" spans="1:34" x14ac:dyDescent="0.2">
      <c r="P1085" s="86"/>
      <c r="Q1085" s="119"/>
      <c r="R1085" s="86"/>
      <c r="S1085" s="86"/>
      <c r="T1085" s="86"/>
      <c r="U1085" s="86"/>
      <c r="V1085" s="86"/>
      <c r="W1085" s="86"/>
      <c r="X1085" s="86"/>
      <c r="Y1085" s="86"/>
      <c r="Z1085" s="86"/>
      <c r="AA1085" s="86"/>
      <c r="AB1085" s="86"/>
      <c r="AC1085" s="86"/>
      <c r="AD1085" s="86"/>
    </row>
    <row r="1086" spans="1:34" x14ac:dyDescent="0.2">
      <c r="P1086" s="2"/>
      <c r="Q1086" s="120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90" spans="1:21" x14ac:dyDescent="0.2">
      <c r="M1090" s="59">
        <f>M944+R945+S945+U945+V945+W945+X945+Y945+Z945</f>
        <v>11710080790</v>
      </c>
    </row>
    <row r="1091" spans="1:21" s="2" customFormat="1" x14ac:dyDescent="0.2">
      <c r="A1091" s="144"/>
      <c r="F1091" s="158"/>
      <c r="G1091" s="158"/>
      <c r="M1091" s="143">
        <f>SUBTOTAL(9,Z862:Z891)</f>
        <v>69218714</v>
      </c>
      <c r="Q1091" s="120"/>
    </row>
    <row r="1092" spans="1:21" s="2" customFormat="1" x14ac:dyDescent="0.2">
      <c r="A1092" s="144"/>
      <c r="F1092" s="158"/>
      <c r="G1092" s="158"/>
      <c r="O1092" s="2" t="e">
        <f>#REF!+#REF!+#REF!</f>
        <v>#REF!</v>
      </c>
      <c r="Q1092" s="120"/>
    </row>
    <row r="1093" spans="1:21" s="2" customFormat="1" x14ac:dyDescent="0.2">
      <c r="A1093" s="144"/>
      <c r="F1093" s="158"/>
      <c r="G1093" s="158"/>
      <c r="M1093" s="2">
        <f>M1091+M1080</f>
        <v>69218714</v>
      </c>
      <c r="N1093" s="2" t="e">
        <f>M1093-M1094</f>
        <v>#REF!</v>
      </c>
      <c r="O1093" s="2" t="e">
        <f>#REF!</f>
        <v>#REF!</v>
      </c>
      <c r="P1093" s="2" t="e">
        <f>#REF!*1000</f>
        <v>#REF!</v>
      </c>
      <c r="Q1093" s="120" t="e">
        <f>#REF!*1000-#REF!*1000</f>
        <v>#REF!</v>
      </c>
    </row>
    <row r="1094" spans="1:21" s="2" customFormat="1" x14ac:dyDescent="0.2">
      <c r="A1094" s="144"/>
      <c r="F1094" s="158"/>
      <c r="G1094" s="158"/>
      <c r="M1094" s="2" t="e">
        <f>#REF!*1000</f>
        <v>#REF!</v>
      </c>
      <c r="O1094" s="2" t="e">
        <f>#REF!</f>
        <v>#REF!</v>
      </c>
      <c r="P1094" s="2" t="e">
        <f>P1093-P945</f>
        <v>#REF!</v>
      </c>
      <c r="Q1094" s="120">
        <f>Q944-Q924-Q936-Q938-Q939-Q943</f>
        <v>11435637727</v>
      </c>
    </row>
    <row r="1095" spans="1:21" s="2" customFormat="1" x14ac:dyDescent="0.2">
      <c r="A1095" s="144"/>
      <c r="F1095" s="158"/>
      <c r="G1095" s="158"/>
      <c r="M1095" s="2">
        <f>SUBTOTAL(9,O10:O921)</f>
        <v>10578187946</v>
      </c>
      <c r="O1095" s="2" t="e">
        <f>#REF!</f>
        <v>#REF!</v>
      </c>
      <c r="Q1095" s="120" t="e">
        <f>Q1094-Q1093</f>
        <v>#REF!</v>
      </c>
    </row>
    <row r="1096" spans="1:21" s="2" customFormat="1" x14ac:dyDescent="0.2">
      <c r="A1096" s="144"/>
      <c r="F1096" s="158"/>
      <c r="G1096" s="158"/>
      <c r="M1096" s="2">
        <f>M1095+M1091</f>
        <v>10647406660</v>
      </c>
      <c r="N1096" s="2" t="e">
        <f>M1096-M1094</f>
        <v>#REF!</v>
      </c>
      <c r="O1096" s="2" t="e">
        <f>#REF!</f>
        <v>#REF!</v>
      </c>
      <c r="Q1096" s="120"/>
    </row>
    <row r="1097" spans="1:21" s="2" customFormat="1" x14ac:dyDescent="0.2">
      <c r="A1097" s="144"/>
      <c r="F1097" s="158"/>
      <c r="G1097" s="158"/>
      <c r="O1097" s="2" t="e">
        <f>#REF!</f>
        <v>#REF!</v>
      </c>
      <c r="Q1097" s="120"/>
    </row>
    <row r="1098" spans="1:21" s="2" customFormat="1" x14ac:dyDescent="0.2">
      <c r="A1098" s="144"/>
      <c r="F1098" s="158"/>
      <c r="G1098" s="158"/>
      <c r="M1098" s="2">
        <f>O924+O936+O938+O939+O943+P944+R944+S944+U944+V944+W944+X944+Y944</f>
        <v>1184387353</v>
      </c>
      <c r="N1098" s="2" t="e">
        <f>M1098-M1100</f>
        <v>#REF!</v>
      </c>
      <c r="Q1098" s="120"/>
    </row>
    <row r="1099" spans="1:21" s="2" customFormat="1" x14ac:dyDescent="0.2">
      <c r="A1099" s="144"/>
      <c r="F1099" s="158"/>
      <c r="G1099" s="158"/>
      <c r="M1099" s="2" t="e">
        <f>#REF!-#REF!</f>
        <v>#REF!</v>
      </c>
      <c r="O1099" s="2" t="e">
        <f>SUBTOTAL(9,O1092:O1098)</f>
        <v>#REF!</v>
      </c>
      <c r="Q1099" s="120"/>
    </row>
    <row r="1100" spans="1:21" s="2" customFormat="1" x14ac:dyDescent="0.2">
      <c r="A1100" s="144"/>
      <c r="F1100" s="158"/>
      <c r="G1100" s="158"/>
      <c r="M1100" s="2" t="e">
        <f>M1099*1000</f>
        <v>#REF!</v>
      </c>
      <c r="O1100" s="2" t="e">
        <f>O1099*1000</f>
        <v>#REF!</v>
      </c>
      <c r="Q1100" s="120"/>
    </row>
    <row r="1101" spans="1:21" s="2" customFormat="1" x14ac:dyDescent="0.2">
      <c r="A1101" s="144"/>
      <c r="F1101" s="158"/>
      <c r="G1101" s="158"/>
      <c r="O1101" s="2" t="e">
        <f>O1100-O944</f>
        <v>#REF!</v>
      </c>
      <c r="Q1101" s="120"/>
    </row>
    <row r="1103" spans="1:21" x14ac:dyDescent="0.2">
      <c r="S1103" s="153">
        <f>(2518.96*14.82)</f>
        <v>37330.99</v>
      </c>
      <c r="T1103" s="164"/>
      <c r="U1103" s="79">
        <f>S1103-S897-S898-S899-S903-S904-S905</f>
        <v>-0.01</v>
      </c>
    </row>
    <row r="1104" spans="1:21" x14ac:dyDescent="0.2">
      <c r="S1104" s="154">
        <f>(8075.64*14.82)</f>
        <v>119680.98</v>
      </c>
      <c r="T1104" s="165"/>
      <c r="U1104" s="79">
        <f>S1104-S235-S352-S440</f>
        <v>119680.98</v>
      </c>
    </row>
    <row r="1105" spans="19:21" x14ac:dyDescent="0.2">
      <c r="S1105" s="155">
        <f>(13.68)*1000*14.82</f>
        <v>202737.6</v>
      </c>
      <c r="T1105" s="163"/>
      <c r="U1105" s="79">
        <f>S1105-S26-S27-S28-S29-S30-S31-S32-S33-S34-S35-S25-S24-S23-S22-S21-S20</f>
        <v>202737.6</v>
      </c>
    </row>
    <row r="1106" spans="19:21" x14ac:dyDescent="0.2">
      <c r="S1106" s="156">
        <f>155.87*14.82</f>
        <v>2309.9899999999998</v>
      </c>
      <c r="T1106" s="166"/>
    </row>
    <row r="1107" spans="19:21" x14ac:dyDescent="0.2">
      <c r="S1107" s="156">
        <f>4228.41*14.82</f>
        <v>62665.04</v>
      </c>
      <c r="T1107" s="166"/>
    </row>
  </sheetData>
  <mergeCells count="16">
    <mergeCell ref="AD3:AD7"/>
    <mergeCell ref="U4:U5"/>
    <mergeCell ref="I3:I7"/>
    <mergeCell ref="J3:K3"/>
    <mergeCell ref="O3:O7"/>
    <mergeCell ref="P3:P7"/>
    <mergeCell ref="Q3:Q7"/>
    <mergeCell ref="AC3:AC7"/>
    <mergeCell ref="A1:E1"/>
    <mergeCell ref="A2:H2"/>
    <mergeCell ref="A3:A7"/>
    <mergeCell ref="B3:B7"/>
    <mergeCell ref="C3:C7"/>
    <mergeCell ref="D3:D7"/>
    <mergeCell ref="E3:E7"/>
    <mergeCell ref="H3:H7"/>
  </mergeCells>
  <pageMargins left="0.7" right="0.7" top="0.75" bottom="0.75" header="0.3" footer="0.3"/>
  <pageSetup paperSize="8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контрактная (ЮВОС)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 Наталья Геннадьевна</dc:creator>
  <cp:lastModifiedBy>mariya</cp:lastModifiedBy>
  <cp:lastPrinted>2022-01-27T08:06:37Z</cp:lastPrinted>
  <dcterms:created xsi:type="dcterms:W3CDTF">2019-10-01T13:35:08Z</dcterms:created>
  <dcterms:modified xsi:type="dcterms:W3CDTF">2022-03-04T15:09:46Z</dcterms:modified>
</cp:coreProperties>
</file>